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charts/chart22.xml" ContentType="application/vnd.openxmlformats-officedocument.drawingml.chart+xml"/>
  <Override PartName="/xl/theme/themeOverride8.xml" ContentType="application/vnd.openxmlformats-officedocument.themeOverride+xml"/>
  <Override PartName="/xl/charts/chart23.xml" ContentType="application/vnd.openxmlformats-officedocument.drawingml.chart+xml"/>
  <Override PartName="/xl/theme/themeOverride9.xml" ContentType="application/vnd.openxmlformats-officedocument.themeOverride+xml"/>
  <Override PartName="/xl/charts/chart24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drawings/drawing14.xml" ContentType="application/vnd.openxmlformats-officedocument.drawingml.chartshapes+xml"/>
  <Override PartName="/xl/charts/chart26.xml" ContentType="application/vnd.openxmlformats-officedocument.drawingml.chart+xml"/>
  <Override PartName="/xl/drawings/drawing15.xml" ContentType="application/vnd.openxmlformats-officedocument.drawingml.chartshapes+xml"/>
  <Override PartName="/xl/charts/chart27.xml" ContentType="application/vnd.openxmlformats-officedocument.drawingml.chart+xml"/>
  <Override PartName="/xl/drawings/drawing16.xml" ContentType="application/vnd.openxmlformats-officedocument.drawingml.chartshapes+xml"/>
  <Override PartName="/xl/charts/chart2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1.xml" ContentType="application/vnd.openxmlformats-officedocument.themeOverride+xml"/>
  <Override PartName="/xl/charts/chart3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2.xml" ContentType="application/vnd.openxmlformats-officedocument.themeOverride+xml"/>
  <Override PartName="/xl/charts/chart3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3.xml" ContentType="application/vnd.openxmlformats-officedocument.themeOverride+xml"/>
  <Override PartName="/xl/charts/chart3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4.xml" ContentType="application/vnd.openxmlformats-officedocument.themeOverride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theme/themeOverride15.xml" ContentType="application/vnd.openxmlformats-officedocument.themeOverride+xml"/>
  <Override PartName="/xl/charts/chart40.xml" ContentType="application/vnd.openxmlformats-officedocument.drawingml.chart+xml"/>
  <Override PartName="/xl/theme/themeOverride16.xml" ContentType="application/vnd.openxmlformats-officedocument.themeOverride+xml"/>
  <Override PartName="/xl/drawings/drawing22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4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4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4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4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5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5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5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5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5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5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charts/chart5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58.xml" ContentType="application/vnd.openxmlformats-officedocument.drawingml.chart+xml"/>
  <Override PartName="/xl/theme/themeOverride17.xml" ContentType="application/vnd.openxmlformats-officedocument.themeOverride+xml"/>
  <Override PartName="/xl/charts/chart5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60.xml" ContentType="application/vnd.openxmlformats-officedocument.drawingml.chart+xml"/>
  <Override PartName="/xl/theme/themeOverride18.xml" ContentType="application/vnd.openxmlformats-officedocument.themeOverride+xml"/>
  <Override PartName="/xl/drawings/drawing32.xml" ContentType="application/vnd.openxmlformats-officedocument.drawing+xml"/>
  <Override PartName="/xl/charts/chart6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6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6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3.xml" ContentType="application/vnd.openxmlformats-officedocument.drawing+xml"/>
  <Override PartName="/xl/charts/chart6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65.xml" ContentType="application/vnd.openxmlformats-officedocument.drawingml.chart+xml"/>
  <Override PartName="/xl/theme/themeOverride19.xml" ContentType="application/vnd.openxmlformats-officedocument.themeOverride+xml"/>
  <Override PartName="/xl/drawings/drawing34.xml" ContentType="application/vnd.openxmlformats-officedocument.drawingml.chartshapes+xml"/>
  <Override PartName="/xl/charts/chart6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67.xml" ContentType="application/vnd.openxmlformats-officedocument.drawingml.chart+xml"/>
  <Override PartName="/xl/theme/themeOverride20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68.xml" ContentType="application/vnd.openxmlformats-officedocument.drawingml.chart+xml"/>
  <Override PartName="/xl/theme/themeOverride21.xml" ContentType="application/vnd.openxmlformats-officedocument.themeOverride+xml"/>
  <Override PartName="/xl/charts/chart69.xml" ContentType="application/vnd.openxmlformats-officedocument.drawingml.chart+xml"/>
  <Override PartName="/xl/theme/themeOverride22.xml" ContentType="application/vnd.openxmlformats-officedocument.themeOverride+xml"/>
  <Override PartName="/xl/charts/chart70.xml" ContentType="application/vnd.openxmlformats-officedocument.drawingml.chart+xml"/>
  <Override PartName="/xl/theme/themeOverride23.xml" ContentType="application/vnd.openxmlformats-officedocument.themeOverride+xml"/>
  <Override PartName="/xl/charts/chart71.xml" ContentType="application/vnd.openxmlformats-officedocument.drawingml.chart+xml"/>
  <Override PartName="/xl/theme/themeOverride24.xml" ContentType="application/vnd.openxmlformats-officedocument.themeOverride+xml"/>
  <Override PartName="/xl/drawings/drawing37.xml" ContentType="application/vnd.openxmlformats-officedocument.drawing+xml"/>
  <Override PartName="/xl/charts/chart7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7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7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76.xml" ContentType="application/vnd.openxmlformats-officedocument.drawingml.chart+xml"/>
  <Override PartName="/xl/theme/themeOverride25.xml" ContentType="application/vnd.openxmlformats-officedocument.themeOverride+xml"/>
  <Override PartName="/xl/charts/chart77.xml" ContentType="application/vnd.openxmlformats-officedocument.drawingml.chart+xml"/>
  <Override PartName="/xl/theme/themeOverride26.xml" ContentType="application/vnd.openxmlformats-officedocument.themeOverride+xml"/>
  <Override PartName="/xl/charts/chart78.xml" ContentType="application/vnd.openxmlformats-officedocument.drawingml.chart+xml"/>
  <Override PartName="/xl/theme/themeOverride27.xml" ContentType="application/vnd.openxmlformats-officedocument.themeOverride+xml"/>
  <Override PartName="/xl/charts/chart79.xml" ContentType="application/vnd.openxmlformats-officedocument.drawingml.chart+xml"/>
  <Override PartName="/xl/theme/themeOverride28.xml" ContentType="application/vnd.openxmlformats-officedocument.themeOverride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ento_zošit"/>
  <bookViews>
    <workbookView xWindow="0" yWindow="0" windowWidth="28800" windowHeight="14820"/>
  </bookViews>
  <sheets>
    <sheet name="Obsah" sheetId="202" r:id="rId1"/>
    <sheet name="IMF_TABULKA" sheetId="193" r:id="rId2"/>
    <sheet name="Graf 1 + 2" sheetId="16" r:id="rId3"/>
    <sheet name="Graf 3 + 4" sheetId="18" r:id="rId4"/>
    <sheet name="Graf 5 + 6" sheetId="19" r:id="rId5"/>
    <sheet name="Graf 7 + 8" sheetId="15" r:id="rId6"/>
    <sheet name="Box 2_ Graf 9_ Tabuľka 1" sheetId="2" r:id="rId7"/>
    <sheet name="Graf 10" sheetId="20" r:id="rId8"/>
    <sheet name="Tabuľka 2" sheetId="134" r:id="rId9"/>
    <sheet name="Graf 11 " sheetId="139" r:id="rId10"/>
    <sheet name="Graf 12" sheetId="181" r:id="rId11"/>
    <sheet name="Tabuľka 3" sheetId="102" r:id="rId12"/>
    <sheet name="Tabuľka 4" sheetId="164" r:id="rId13"/>
    <sheet name="BOX 3 _ graf 13 + 14 _ Tab5" sheetId="155" r:id="rId14"/>
    <sheet name="Graf 15 + 16" sheetId="158" r:id="rId15"/>
    <sheet name="Tab 6 + Graf 17 + 18" sheetId="165" r:id="rId16"/>
    <sheet name="Graf 19" sheetId="195" r:id="rId17"/>
    <sheet name="Graf 20" sheetId="31" r:id="rId18"/>
    <sheet name="Graf 21" sheetId="32" r:id="rId19"/>
    <sheet name="Graf 22" sheetId="201" r:id="rId20"/>
    <sheet name="Tabuľka 7" sheetId="196" r:id="rId21"/>
    <sheet name="Tabuľka 8" sheetId="107" r:id="rId22"/>
    <sheet name="Graf 23+24+25+26" sheetId="199" r:id="rId23"/>
    <sheet name="Tabuľka 9 " sheetId="106" r:id="rId24"/>
    <sheet name="Tabuľka 10 +11+12" sheetId="198" r:id="rId25"/>
    <sheet name="Tabuľka 13" sheetId="123" r:id="rId26"/>
    <sheet name="Graf 27 + 28" sheetId="143" r:id="rId27"/>
    <sheet name="Graf 29 + 30" sheetId="166" r:id="rId28"/>
    <sheet name="Graf 31+32 " sheetId="168" r:id="rId29"/>
    <sheet name="Graf 33+34" sheetId="169" r:id="rId30"/>
    <sheet name="Graf 35 + 36" sheetId="151" r:id="rId31"/>
    <sheet name="Graf 37 + Tabuľka 14" sheetId="154" r:id="rId32"/>
    <sheet name="Tabuľka 15" sheetId="122" r:id="rId33"/>
    <sheet name="Graf 38+39" sheetId="128" r:id="rId34"/>
    <sheet name="DRM" sheetId="203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definedNames>
    <definedName name="\A" localSheetId="27">#REF!</definedName>
    <definedName name="\A" localSheetId="28">#REF!</definedName>
    <definedName name="\A" localSheetId="29">#REF!</definedName>
    <definedName name="\A">#REF!</definedName>
    <definedName name="\B" localSheetId="27">#REF!</definedName>
    <definedName name="\B">#REF!</definedName>
    <definedName name="\C" localSheetId="27">#REF!</definedName>
    <definedName name="\C">#REF!</definedName>
    <definedName name="\D" localSheetId="27">#REF!</definedName>
    <definedName name="\D">#REF!</definedName>
    <definedName name="\E" localSheetId="27">#REF!</definedName>
    <definedName name="\E">#REF!</definedName>
    <definedName name="\F" localSheetId="27">#REF!</definedName>
    <definedName name="\F">#REF!</definedName>
    <definedName name="\G" localSheetId="27">#REF!</definedName>
    <definedName name="\G">#REF!</definedName>
    <definedName name="\H" localSheetId="27">#REF!</definedName>
    <definedName name="\H">#REF!</definedName>
    <definedName name="\I" localSheetId="27">#REF!</definedName>
    <definedName name="\I">#REF!</definedName>
    <definedName name="\J" localSheetId="27">#REF!</definedName>
    <definedName name="\J">#REF!</definedName>
    <definedName name="\K" localSheetId="27">#REF!</definedName>
    <definedName name="\K">#REF!</definedName>
    <definedName name="\L" localSheetId="27">#REF!</definedName>
    <definedName name="\L">#REF!</definedName>
    <definedName name="\M" localSheetId="27">#REF!</definedName>
    <definedName name="\M">#REF!</definedName>
    <definedName name="\N" localSheetId="27">#REF!</definedName>
    <definedName name="\N">#REF!</definedName>
    <definedName name="\O" localSheetId="27">#REF!</definedName>
    <definedName name="\O">#REF!</definedName>
    <definedName name="\P" localSheetId="27">#REF!</definedName>
    <definedName name="\P">#REF!</definedName>
    <definedName name="\Q" localSheetId="27">#REF!</definedName>
    <definedName name="\Q">#REF!</definedName>
    <definedName name="\R" localSheetId="27">#REF!</definedName>
    <definedName name="\R">#REF!</definedName>
    <definedName name="\S" localSheetId="27">#REF!</definedName>
    <definedName name="\S">#REF!</definedName>
    <definedName name="\T" localSheetId="27">#REF!</definedName>
    <definedName name="\T">#REF!</definedName>
    <definedName name="\U" localSheetId="27">#REF!</definedName>
    <definedName name="\U">#REF!</definedName>
    <definedName name="\V" localSheetId="27">#REF!</definedName>
    <definedName name="\V">#REF!</definedName>
    <definedName name="\W" localSheetId="27">#REF!</definedName>
    <definedName name="\W">#REF!</definedName>
    <definedName name="\X" localSheetId="27">#REF!</definedName>
    <definedName name="\X">#REF!</definedName>
    <definedName name="\Y" localSheetId="27">#REF!</definedName>
    <definedName name="\Y">#REF!</definedName>
    <definedName name="\Z" localSheetId="27">#REF!</definedName>
    <definedName name="\Z">#REF!</definedName>
    <definedName name="_____BOP2">[1]BoP!#REF!</definedName>
    <definedName name="_____dat1">'[2]work Q real'!#REF!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'[3]Annual Tables'!#REF!</definedName>
    <definedName name="_____PAG2">[3]Index!#REF!</definedName>
    <definedName name="_____PAG3">[3]Index!#REF!</definedName>
    <definedName name="_____PAG4">[3]Index!#REF!</definedName>
    <definedName name="_____PAG5">[3]Index!#REF!</definedName>
    <definedName name="_____PAG6">[3]Index!#REF!</definedName>
    <definedName name="_____RES2">[1]RES!#REF!</definedName>
    <definedName name="_____TAB7">#REF!</definedName>
    <definedName name="____BOP1">#REF!</definedName>
    <definedName name="____BOP2">[1]BoP!#REF!</definedName>
    <definedName name="____dat1">'[2]work Q real'!#REF!</definedName>
    <definedName name="____dat2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'[3]Annual Tables'!#REF!</definedName>
    <definedName name="____OUT1">#REF!</definedName>
    <definedName name="____OUT2">#REF!</definedName>
    <definedName name="____PAG2">[3]Index!#REF!</definedName>
    <definedName name="____PAG3">[3]Index!#REF!</definedName>
    <definedName name="____PAG4">[3]Index!#REF!</definedName>
    <definedName name="____PAG5">[3]Index!#REF!</definedName>
    <definedName name="____PAG6">[3]Index!#REF!</definedName>
    <definedName name="____PAG7">#REF!</definedName>
    <definedName name="____pro2001">[4]pro2001!$A$1:$B$72</definedName>
    <definedName name="____RES2">[1]RES!#REF!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WEO1">#REF!</definedName>
    <definedName name="____WEO2">#REF!</definedName>
    <definedName name="___BOP1">#REF!</definedName>
    <definedName name="___BOP2">[1]BoP!#REF!</definedName>
    <definedName name="___dat1">'[2]work Q real'!#REF!</definedName>
    <definedName name="___dat2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'[3]Annual Tables'!#REF!</definedName>
    <definedName name="___OUT1">#REF!</definedName>
    <definedName name="___OUT2">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PAG7">#REF!</definedName>
    <definedName name="___pro2001">[4]pro2001!$A$1:$B$72</definedName>
    <definedName name="___RES2">[1]RES!#REF!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WEO1">#REF!</definedName>
    <definedName name="___WEO2">#REF!</definedName>
    <definedName name="__123Graph_A" localSheetId="14" hidden="1">#REF!</definedName>
    <definedName name="__123Graph_A" localSheetId="27" hidden="1">#REF!</definedName>
    <definedName name="__123Graph_A" hidden="1">#REF!</definedName>
    <definedName name="__123Graph_AEXP" hidden="1">#REF!</definedName>
    <definedName name="__123Graph_ATEST1" localSheetId="10" hidden="1">[5]REER!$AZ$144:$AZ$210</definedName>
    <definedName name="__123Graph_ATEST1" localSheetId="27" hidden="1">[6]REER!$AZ$144:$AZ$210</definedName>
    <definedName name="__123Graph_ATEST1" hidden="1">[7]REER!$AZ$144:$AZ$210</definedName>
    <definedName name="__123Graph_B" localSheetId="9" hidden="1">#REF!</definedName>
    <definedName name="__123Graph_B" localSheetId="10" hidden="1">#REF!</definedName>
    <definedName name="__123Graph_B" localSheetId="14" hidden="1">#REF!</definedName>
    <definedName name="__123Graph_B" localSheetId="27" hidden="1">#REF!</definedName>
    <definedName name="__123Graph_B" hidden="1">#REF!</definedName>
    <definedName name="__123Graph_BCurrent" localSheetId="9" hidden="1">[8]G!#REF!</definedName>
    <definedName name="__123Graph_BCurrent" localSheetId="10" hidden="1">[8]G!#REF!</definedName>
    <definedName name="__123Graph_BCurrent" localSheetId="14" hidden="1">[8]G!#REF!</definedName>
    <definedName name="__123Graph_BCurrent" localSheetId="27" hidden="1">[8]G!#REF!</definedName>
    <definedName name="__123Graph_BCurrent" hidden="1">[8]G!#REF!</definedName>
    <definedName name="__123Graph_BGDP" hidden="1">'[9]Quarterly Program'!#REF!</definedName>
    <definedName name="__123Graph_BMONEY" hidden="1">'[9]Quarterly Program'!#REF!</definedName>
    <definedName name="__123Graph_BREER3" localSheetId="10" hidden="1">[5]REER!$BB$144:$BB$212</definedName>
    <definedName name="__123Graph_BREER3" localSheetId="27" hidden="1">[6]REER!$BB$144:$BB$212</definedName>
    <definedName name="__123Graph_BREER3" hidden="1">[7]REER!$BB$144:$BB$212</definedName>
    <definedName name="__123Graph_BTEST1" localSheetId="10" hidden="1">[5]REER!$AY$144:$AY$210</definedName>
    <definedName name="__123Graph_BTEST1" localSheetId="27" hidden="1">[6]REER!$AY$144:$AY$210</definedName>
    <definedName name="__123Graph_BTEST1" hidden="1">[7]REER!$AY$144:$AY$210</definedName>
    <definedName name="__123Graph_CREER3" localSheetId="10" hidden="1">[5]REER!$BB$144:$BB$212</definedName>
    <definedName name="__123Graph_CREER3" localSheetId="27" hidden="1">[6]REER!$BB$144:$BB$212</definedName>
    <definedName name="__123Graph_CREER3" hidden="1">[7]REER!$BB$144:$BB$212</definedName>
    <definedName name="__123Graph_CTEST1" localSheetId="10" hidden="1">[5]REER!$BK$140:$BK$140</definedName>
    <definedName name="__123Graph_CTEST1" localSheetId="27" hidden="1">[6]REER!$BK$140:$BK$140</definedName>
    <definedName name="__123Graph_CTEST1" hidden="1">[7]REER!$BK$140:$BK$140</definedName>
    <definedName name="__123Graph_DREER3" localSheetId="10" hidden="1">[5]REER!$BB$144:$BB$210</definedName>
    <definedName name="__123Graph_DREER3" localSheetId="27" hidden="1">[6]REER!$BB$144:$BB$210</definedName>
    <definedName name="__123Graph_DREER3" hidden="1">[7]REER!$BB$144:$BB$210</definedName>
    <definedName name="__123Graph_DTEST1" localSheetId="10" hidden="1">[5]REER!$BB$144:$BB$210</definedName>
    <definedName name="__123Graph_DTEST1" localSheetId="27" hidden="1">[6]REER!$BB$144:$BB$210</definedName>
    <definedName name="__123Graph_DTEST1" hidden="1">[7]REER!$BB$144:$BB$210</definedName>
    <definedName name="__123Graph_EREER3" localSheetId="10" hidden="1">[5]REER!$BR$144:$BR$211</definedName>
    <definedName name="__123Graph_EREER3" localSheetId="27" hidden="1">[6]REER!$BR$144:$BR$211</definedName>
    <definedName name="__123Graph_EREER3" hidden="1">[7]REER!$BR$144:$BR$211</definedName>
    <definedName name="__123Graph_ETEST1" localSheetId="10" hidden="1">[5]REER!$BR$144:$BR$211</definedName>
    <definedName name="__123Graph_ETEST1" localSheetId="27" hidden="1">[6]REER!$BR$144:$BR$211</definedName>
    <definedName name="__123Graph_ETEST1" hidden="1">[7]REER!$BR$144:$BR$211</definedName>
    <definedName name="__123Graph_FREER3" localSheetId="10" hidden="1">[5]REER!$BN$140:$BN$140</definedName>
    <definedName name="__123Graph_FREER3" localSheetId="27" hidden="1">[6]REER!$BN$140:$BN$140</definedName>
    <definedName name="__123Graph_FREER3" hidden="1">[7]REER!$BN$140:$BN$140</definedName>
    <definedName name="__123Graph_FTEST1" localSheetId="10" hidden="1">[5]REER!$BN$140:$BN$140</definedName>
    <definedName name="__123Graph_FTEST1" localSheetId="27" hidden="1">[6]REER!$BN$140:$BN$140</definedName>
    <definedName name="__123Graph_FTEST1" hidden="1">[7]REER!$BN$140:$BN$140</definedName>
    <definedName name="__123Graph_X" localSheetId="9" hidden="1">'[10]i2-KA'!#REF!</definedName>
    <definedName name="__123Graph_X" localSheetId="10" hidden="1">'[10]i2-KA'!#REF!</definedName>
    <definedName name="__123Graph_X" localSheetId="14" hidden="1">'[10]i2-KA'!#REF!</definedName>
    <definedName name="__123Graph_X" localSheetId="27" hidden="1">'[10]i2-KA'!#REF!</definedName>
    <definedName name="__123Graph_X" localSheetId="28" hidden="1">'[10]i2-KA'!#REF!</definedName>
    <definedName name="__123Graph_X" localSheetId="29" hidden="1">'[10]i2-KA'!#REF!</definedName>
    <definedName name="__123Graph_X" hidden="1">'[10]i2-KA'!#REF!</definedName>
    <definedName name="__123Graph_XCurrent" localSheetId="9" hidden="1">'[10]i2-KA'!#REF!</definedName>
    <definedName name="__123Graph_XCurrent" localSheetId="14" hidden="1">'[10]i2-KA'!#REF!</definedName>
    <definedName name="__123Graph_XCurrent" localSheetId="27" hidden="1">'[10]i2-KA'!#REF!</definedName>
    <definedName name="__123Graph_XCurrent" hidden="1">'[10]i2-KA'!#REF!</definedName>
    <definedName name="__123Graph_XEXP" hidden="1">[11]EdssGeeGAS!#REF!</definedName>
    <definedName name="__123Graph_XChart1" localSheetId="14" hidden="1">'[10]i2-KA'!#REF!</definedName>
    <definedName name="__123Graph_XChart1" localSheetId="27" hidden="1">'[10]i2-KA'!#REF!</definedName>
    <definedName name="__123Graph_XChart1" hidden="1">'[10]i2-KA'!#REF!</definedName>
    <definedName name="__123Graph_XChart2" localSheetId="14" hidden="1">'[10]i2-KA'!#REF!</definedName>
    <definedName name="__123Graph_XChart2" localSheetId="27" hidden="1">'[10]i2-KA'!#REF!</definedName>
    <definedName name="__123Graph_XChart2" hidden="1">'[10]i2-KA'!#REF!</definedName>
    <definedName name="__123Graph_XTEST1" localSheetId="10" hidden="1">[5]REER!$C$9:$C$75</definedName>
    <definedName name="__123Graph_XTEST1" localSheetId="27" hidden="1">[6]REER!$C$9:$C$75</definedName>
    <definedName name="__123Graph_XTEST1" hidden="1">[7]REER!$C$9:$C$75</definedName>
    <definedName name="__BOP1" localSheetId="27">#REF!</definedName>
    <definedName name="__BOP1" localSheetId="28">#REF!</definedName>
    <definedName name="__BOP1" localSheetId="29">#REF!</definedName>
    <definedName name="__BOP1">#REF!</definedName>
    <definedName name="__BOP2" localSheetId="27">[1]BoP!#REF!</definedName>
    <definedName name="__BOP2">[1]BoP!#REF!</definedName>
    <definedName name="__dat1" localSheetId="27">'[2]work Q real'!#REF!</definedName>
    <definedName name="__dat1" localSheetId="28">'[2]work Q real'!#REF!</definedName>
    <definedName name="__dat1" localSheetId="29">'[2]work Q real'!#REF!</definedName>
    <definedName name="__dat1">'[2]work Q real'!#REF!</definedName>
    <definedName name="__dat2" localSheetId="27">#REF!</definedName>
    <definedName name="__dat2" localSheetId="28">#REF!</definedName>
    <definedName name="__dat2" localSheetId="29">#REF!</definedName>
    <definedName name="__dat2">#REF!</definedName>
    <definedName name="__EXP5" localSheetId="27">#REF!</definedName>
    <definedName name="__EXP5" localSheetId="28">#REF!</definedName>
    <definedName name="__EXP5" localSheetId="29">#REF!</definedName>
    <definedName name="__EXP5">#REF!</definedName>
    <definedName name="__EXP6" localSheetId="27">#REF!</definedName>
    <definedName name="__EXP6" localSheetId="28">#REF!</definedName>
    <definedName name="__EXP6" localSheetId="29">#REF!</definedName>
    <definedName name="__EXP6">#REF!</definedName>
    <definedName name="__EXP7" localSheetId="27">#REF!</definedName>
    <definedName name="__EXP7">#REF!</definedName>
    <definedName name="__EXP9" localSheetId="27">#REF!</definedName>
    <definedName name="__EXP9">#REF!</definedName>
    <definedName name="__IMP10">#REF!</definedName>
    <definedName name="__IMP2" localSheetId="27">#REF!</definedName>
    <definedName name="__IMP2">#REF!</definedName>
    <definedName name="__IMP4" localSheetId="27">#REF!</definedName>
    <definedName name="__IMP4">#REF!</definedName>
    <definedName name="__IMP6" localSheetId="27">#REF!</definedName>
    <definedName name="__IMP6">#REF!</definedName>
    <definedName name="__IMP7" localSheetId="27">#REF!</definedName>
    <definedName name="__IMP7">#REF!</definedName>
    <definedName name="__IMP8">#REF!</definedName>
    <definedName name="__MTS2" localSheetId="27">'[3]Annual Tables'!#REF!</definedName>
    <definedName name="__MTS2">'[3]Annual Tables'!#REF!</definedName>
    <definedName name="__OUT1" localSheetId="27">#REF!</definedName>
    <definedName name="__OUT1" localSheetId="28">#REF!</definedName>
    <definedName name="__OUT1" localSheetId="29">#REF!</definedName>
    <definedName name="__OUT1">#REF!</definedName>
    <definedName name="__OUT2" localSheetId="27">#REF!</definedName>
    <definedName name="__OUT2" localSheetId="28">#REF!</definedName>
    <definedName name="__OUT2" localSheetId="29">#REF!</definedName>
    <definedName name="__OUT2">#REF!</definedName>
    <definedName name="__PAG2" localSheetId="27">[3]Index!#REF!</definedName>
    <definedName name="__PAG2" localSheetId="28">[3]Index!#REF!</definedName>
    <definedName name="__PAG2" localSheetId="29">[3]Index!#REF!</definedName>
    <definedName name="__PAG2">[3]Index!#REF!</definedName>
    <definedName name="__PAG3" localSheetId="27">[3]Index!#REF!</definedName>
    <definedName name="__PAG3" localSheetId="28">[3]Index!#REF!</definedName>
    <definedName name="__PAG3" localSheetId="29">[3]Index!#REF!</definedName>
    <definedName name="__PAG3">[3]Index!#REF!</definedName>
    <definedName name="__PAG4" localSheetId="27">[3]Index!#REF!</definedName>
    <definedName name="__PAG4">[3]Index!#REF!</definedName>
    <definedName name="__PAG5" localSheetId="27">[3]Index!#REF!</definedName>
    <definedName name="__PAG5">[3]Index!#REF!</definedName>
    <definedName name="__PAG6" localSheetId="27">[3]Index!#REF!</definedName>
    <definedName name="__PAG6">[3]Index!#REF!</definedName>
    <definedName name="__PAG7" localSheetId="27">#REF!</definedName>
    <definedName name="__PAG7" localSheetId="28">#REF!</definedName>
    <definedName name="__PAG7" localSheetId="29">#REF!</definedName>
    <definedName name="__PAG7">#REF!</definedName>
    <definedName name="__pro2001">[12]pro2001!$A$1:$B$72</definedName>
    <definedName name="__RES2" localSheetId="27">[1]RES!#REF!</definedName>
    <definedName name="__RES2" localSheetId="28">[1]RES!#REF!</definedName>
    <definedName name="__RES2" localSheetId="29">[1]RES!#REF!</definedName>
    <definedName name="__RES2">[1]RES!#REF!</definedName>
    <definedName name="__TAB1" localSheetId="27">#REF!</definedName>
    <definedName name="__TAB1" localSheetId="28">#REF!</definedName>
    <definedName name="__TAB1" localSheetId="29">#REF!</definedName>
    <definedName name="__TAB1">#REF!</definedName>
    <definedName name="__TAB10" localSheetId="27">#REF!</definedName>
    <definedName name="__TAB10" localSheetId="28">#REF!</definedName>
    <definedName name="__TAB10" localSheetId="29">#REF!</definedName>
    <definedName name="__TAB10">#REF!</definedName>
    <definedName name="__TAB12" localSheetId="27">#REF!</definedName>
    <definedName name="__TAB12" localSheetId="28">#REF!</definedName>
    <definedName name="__TAB12" localSheetId="29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 localSheetId="27">#REF!</definedName>
    <definedName name="__TAB7">#REF!</definedName>
    <definedName name="__TAB8">#REF!</definedName>
    <definedName name="__tab9">#REF!</definedName>
    <definedName name="__TB41">#REF!</definedName>
    <definedName name="__WEO1">#REF!</definedName>
    <definedName name="__WEO2">#REF!</definedName>
    <definedName name="_1_123Graph_A" hidden="1">#REF!</definedName>
    <definedName name="_10__123Graph_ACHART_2" hidden="1">'[13]Employment Data Sectors (wages)'!$A$8173:$A$8184</definedName>
    <definedName name="_10__123Graph_ACHART_8" hidden="1">'[14]Employment Data Sectors (wages)'!$W$8175:$W$8186</definedName>
    <definedName name="_10__123Graph_BCHART_1" hidden="1">'[15]Employment Data Sectors (wages)'!$B$8173:$B$8184</definedName>
    <definedName name="_100__123Graph_BCHART_8" localSheetId="27" hidden="1">'[16]Employment Data Sectors (wages)'!$W$13:$W$8187</definedName>
    <definedName name="_100__123Graph_BCHART_8" hidden="1">'[17]Employment Data Sectors (wages)'!$W$13:$W$8187</definedName>
    <definedName name="_102__123Graph_CCHART_1" localSheetId="27" hidden="1">'[18]Employment Data Sectors (wages)'!$C$8173:$C$8184</definedName>
    <definedName name="_105__123Graph_CCHART_1" localSheetId="27" hidden="1">'[16]Employment Data Sectors (wages)'!$C$8173:$C$8184</definedName>
    <definedName name="_105__123Graph_CCHART_1" hidden="1">'[17]Employment Data Sectors (wages)'!$C$8173:$C$8184</definedName>
    <definedName name="_107__123Graph_CCHART_2" localSheetId="27" hidden="1">'[18]Employment Data Sectors (wages)'!$C$8173:$C$8184</definedName>
    <definedName name="_11__123Graph_BCHART_1" hidden="1">'[14]Employment Data Sectors (wages)'!$B$8173:$B$8184</definedName>
    <definedName name="_11__123Graph_BCHART_2" hidden="1">'[15]Employment Data Sectors (wages)'!$B$8173:$B$8184</definedName>
    <definedName name="_110__123Graph_CCHART_2" localSheetId="27" hidden="1">'[16]Employment Data Sectors (wages)'!$C$8173:$C$8184</definedName>
    <definedName name="_110__123Graph_CCHART_2" hidden="1">'[17]Employment Data Sectors (wages)'!$C$8173:$C$8184</definedName>
    <definedName name="_112__123Graph_CCHART_3" localSheetId="27" hidden="1">'[18]Employment Data Sectors (wages)'!$C$11:$C$8185</definedName>
    <definedName name="_115__123Graph_CCHART_3" localSheetId="27" hidden="1">'[16]Employment Data Sectors (wages)'!$C$11:$C$8185</definedName>
    <definedName name="_115__123Graph_CCHART_3" hidden="1">'[17]Employment Data Sectors (wages)'!$C$11:$C$8185</definedName>
    <definedName name="_117__123Graph_CCHART_4" localSheetId="27" hidden="1">'[18]Employment Data Sectors (wages)'!$C$12:$C$23</definedName>
    <definedName name="_12__123Graph_ACHART_3" hidden="1">'[13]Employment Data Sectors (wages)'!$A$11:$A$8185</definedName>
    <definedName name="_12__123Graph_BCHART_2" hidden="1">'[14]Employment Data Sectors (wages)'!$B$8173:$B$8184</definedName>
    <definedName name="_12__123Graph_BCHART_3" hidden="1">'[15]Employment Data Sectors (wages)'!$B$11:$B$8185</definedName>
    <definedName name="_120__123Graph_CCHART_4" localSheetId="27" hidden="1">'[16]Employment Data Sectors (wages)'!$C$12:$C$23</definedName>
    <definedName name="_120__123Graph_CCHART_4" hidden="1">'[17]Employment Data Sectors (wages)'!$C$12:$C$23</definedName>
    <definedName name="_122__123Graph_CCHART_5" localSheetId="27" hidden="1">'[18]Employment Data Sectors (wages)'!$C$24:$C$35</definedName>
    <definedName name="_123Graph_AB" localSheetId="9" hidden="1">#REF!</definedName>
    <definedName name="_123Graph_AB" localSheetId="10" hidden="1">#REF!</definedName>
    <definedName name="_123Graph_AB" localSheetId="14" hidden="1">#REF!</definedName>
    <definedName name="_123Graph_AB" localSheetId="27" hidden="1">#REF!</definedName>
    <definedName name="_123Graph_AB" hidden="1">#REF!</definedName>
    <definedName name="_123Graph_B" localSheetId="14" hidden="1">#REF!</definedName>
    <definedName name="_123Graph_B" localSheetId="27" hidden="1">#REF!</definedName>
    <definedName name="_123Graph_B" hidden="1">#REF!</definedName>
    <definedName name="_123Graph_DB" localSheetId="14" hidden="1">#REF!</definedName>
    <definedName name="_123Graph_DB" localSheetId="27" hidden="1">#REF!</definedName>
    <definedName name="_123Graph_DB" hidden="1">#REF!</definedName>
    <definedName name="_123Graph_EB" localSheetId="14" hidden="1">#REF!</definedName>
    <definedName name="_123Graph_EB" localSheetId="27" hidden="1">#REF!</definedName>
    <definedName name="_123Graph_EB" hidden="1">#REF!</definedName>
    <definedName name="_123Graph_FB" localSheetId="14" hidden="1">#REF!</definedName>
    <definedName name="_123Graph_FB" localSheetId="27" hidden="1">#REF!</definedName>
    <definedName name="_123Graph_FB" hidden="1">#REF!</definedName>
    <definedName name="_125__123Graph_CCHART_5" localSheetId="27" hidden="1">'[16]Employment Data Sectors (wages)'!$C$24:$C$35</definedName>
    <definedName name="_125__123Graph_CCHART_5" hidden="1">'[17]Employment Data Sectors (wages)'!$C$24:$C$35</definedName>
    <definedName name="_127__123Graph_CCHART_6" localSheetId="27" hidden="1">'[18]Employment Data Sectors (wages)'!$U$49:$U$8103</definedName>
    <definedName name="_13__123Graph_BCHART_3" hidden="1">'[14]Employment Data Sectors (wages)'!$B$11:$B$8185</definedName>
    <definedName name="_13__123Graph_BCHART_4" hidden="1">'[15]Employment Data Sectors (wages)'!$B$12:$B$23</definedName>
    <definedName name="_130__123Graph_CCHART_6" localSheetId="27" hidden="1">'[16]Employment Data Sectors (wages)'!$U$49:$U$8103</definedName>
    <definedName name="_130__123Graph_CCHART_6" hidden="1">'[17]Employment Data Sectors (wages)'!$U$49:$U$8103</definedName>
    <definedName name="_132__123Graph_CCHART_7" localSheetId="27" hidden="1">'[18]Employment Data Sectors (wages)'!$Y$14:$Y$25</definedName>
    <definedName name="_132Graph_CB" localSheetId="9" hidden="1">#REF!</definedName>
    <definedName name="_132Graph_CB" localSheetId="14" hidden="1">#REF!</definedName>
    <definedName name="_132Graph_CB" localSheetId="27" hidden="1">#REF!</definedName>
    <definedName name="_132Graph_CB" hidden="1">#REF!</definedName>
    <definedName name="_135__123Graph_CCHART_7" localSheetId="27" hidden="1">'[16]Employment Data Sectors (wages)'!$Y$14:$Y$25</definedName>
    <definedName name="_135__123Graph_CCHART_7" hidden="1">'[17]Employment Data Sectors (wages)'!$Y$14:$Y$25</definedName>
    <definedName name="_137__123Graph_CCHART_8" localSheetId="27" hidden="1">'[18]Employment Data Sectors (wages)'!$W$14:$W$25</definedName>
    <definedName name="_14__123Graph_ACHART_4" hidden="1">'[13]Employment Data Sectors (wages)'!$A$12:$A$23</definedName>
    <definedName name="_14__123Graph_BCHART_4" hidden="1">'[14]Employment Data Sectors (wages)'!$B$12:$B$23</definedName>
    <definedName name="_14__123Graph_BCHART_5" hidden="1">'[15]Employment Data Sectors (wages)'!$B$24:$B$35</definedName>
    <definedName name="_140__123Graph_CCHART_8" localSheetId="27" hidden="1">'[16]Employment Data Sectors (wages)'!$W$14:$W$25</definedName>
    <definedName name="_140__123Graph_CCHART_8" hidden="1">'[17]Employment Data Sectors (wages)'!$W$14:$W$25</definedName>
    <definedName name="_142__123Graph_DCHART_7" localSheetId="27" hidden="1">'[18]Employment Data Sectors (wages)'!$Y$26:$Y$37</definedName>
    <definedName name="_145__123Graph_DCHART_7" localSheetId="27" hidden="1">'[16]Employment Data Sectors (wages)'!$Y$26:$Y$37</definedName>
    <definedName name="_145__123Graph_DCHART_7" hidden="1">'[17]Employment Data Sectors (wages)'!$Y$26:$Y$37</definedName>
    <definedName name="_147__123Graph_DCHART_8" localSheetId="27" hidden="1">'[18]Employment Data Sectors (wages)'!$W$26:$W$37</definedName>
    <definedName name="_15__123Graph_BCHART_5" hidden="1">'[14]Employment Data Sectors (wages)'!$B$24:$B$35</definedName>
    <definedName name="_15__123Graph_BCHART_6" hidden="1">'[15]Employment Data Sectors (wages)'!$AS$49:$AS$8103</definedName>
    <definedName name="_150__123Graph_DCHART_8" localSheetId="27" hidden="1">'[16]Employment Data Sectors (wages)'!$W$26:$W$37</definedName>
    <definedName name="_150__123Graph_DCHART_8" hidden="1">'[17]Employment Data Sectors (wages)'!$W$26:$W$37</definedName>
    <definedName name="_152__123Graph_ECHART_7" localSheetId="27" hidden="1">'[18]Employment Data Sectors (wages)'!$Y$38:$Y$49</definedName>
    <definedName name="_155__123Graph_ECHART_7" localSheetId="27" hidden="1">'[16]Employment Data Sectors (wages)'!$Y$38:$Y$49</definedName>
    <definedName name="_155__123Graph_ECHART_7" hidden="1">'[17]Employment Data Sectors (wages)'!$Y$38:$Y$49</definedName>
    <definedName name="_157__123Graph_ECHART_8" localSheetId="27" hidden="1">'[18]Employment Data Sectors (wages)'!$H$86:$H$99</definedName>
    <definedName name="_16__123Graph_ACHART_5" hidden="1">'[13]Employment Data Sectors (wages)'!$A$24:$A$35</definedName>
    <definedName name="_16__123Graph_BCHART_6" hidden="1">'[14]Employment Data Sectors (wages)'!$AS$49:$AS$8103</definedName>
    <definedName name="_16__123Graph_BCHART_7" hidden="1">'[15]Employment Data Sectors (wages)'!$Y$13:$Y$8187</definedName>
    <definedName name="_160__123Graph_ECHART_8" localSheetId="27" hidden="1">'[16]Employment Data Sectors (wages)'!$H$86:$H$99</definedName>
    <definedName name="_160__123Graph_ECHART_8" hidden="1">'[17]Employment Data Sectors (wages)'!$H$86:$H$99</definedName>
    <definedName name="_162__123Graph_FCHART_8" localSheetId="27" hidden="1">'[18]Employment Data Sectors (wages)'!$H$6:$H$17</definedName>
    <definedName name="_165__123Graph_FCHART_8" localSheetId="27" hidden="1">'[16]Employment Data Sectors (wages)'!$H$6:$H$17</definedName>
    <definedName name="_165__123Graph_FCHART_8" hidden="1">'[17]Employment Data Sectors (wages)'!$H$6:$H$17</definedName>
    <definedName name="_17__123Graph_BCHART_7" hidden="1">'[14]Employment Data Sectors (wages)'!$Y$13:$Y$8187</definedName>
    <definedName name="_17__123Graph_BCHART_8" hidden="1">'[15]Employment Data Sectors (wages)'!$W$13:$W$8187</definedName>
    <definedName name="_18__123Graph_ACHART_6" hidden="1">'[13]Employment Data Sectors (wages)'!$Y$49:$Y$8103</definedName>
    <definedName name="_18__123Graph_BCHART_8" hidden="1">'[14]Employment Data Sectors (wages)'!$W$13:$W$8187</definedName>
    <definedName name="_18__123Graph_CCHART_1" hidden="1">'[15]Employment Data Sectors (wages)'!$C$8173:$C$8184</definedName>
    <definedName name="_19__123Graph_CCHART_1" hidden="1">'[14]Employment Data Sectors (wages)'!$C$8173:$C$8184</definedName>
    <definedName name="_19__123Graph_CCHART_2" hidden="1">'[15]Employment Data Sectors (wages)'!$C$8173:$C$8184</definedName>
    <definedName name="_1992BOPB" localSheetId="27">#REF!</definedName>
    <definedName name="_1992BOPB" localSheetId="28">#REF!</definedName>
    <definedName name="_1992BOPB" localSheetId="29">#REF!</definedName>
    <definedName name="_1992BOPB">#REF!</definedName>
    <definedName name="_1Macros_Import_.qbop">[19]!'[Macros Import].qbop'</definedName>
    <definedName name="_2__123Graph_ACHART_1" hidden="1">'[15]Employment Data Sectors (wages)'!$A$8173:$A$8184</definedName>
    <definedName name="_20__123Graph_ACHART_7" hidden="1">'[13]Employment Data Sectors (wages)'!$Y$8175:$Y$8186</definedName>
    <definedName name="_20__123Graph_CCHART_2" hidden="1">'[14]Employment Data Sectors (wages)'!$C$8173:$C$8184</definedName>
    <definedName name="_20__123Graph_CCHART_3" hidden="1">'[15]Employment Data Sectors (wages)'!$C$11:$C$8185</definedName>
    <definedName name="_20Macros_Import_.qbop">[19]!'[Macros Import].qbop'</definedName>
    <definedName name="_21__123Graph_CCHART_3" hidden="1">'[14]Employment Data Sectors (wages)'!$C$11:$C$8185</definedName>
    <definedName name="_21__123Graph_CCHART_4" hidden="1">'[15]Employment Data Sectors (wages)'!$C$12:$C$23</definedName>
    <definedName name="_22__123Graph_ACHART_1" localSheetId="27" hidden="1">'[18]Employment Data Sectors (wages)'!$A$8173:$A$8184</definedName>
    <definedName name="_22__123Graph_ACHART_8" hidden="1">'[13]Employment Data Sectors (wages)'!$W$8175:$W$8186</definedName>
    <definedName name="_22__123Graph_CCHART_4" hidden="1">'[14]Employment Data Sectors (wages)'!$C$12:$C$23</definedName>
    <definedName name="_22__123Graph_CCHART_5" hidden="1">'[15]Employment Data Sectors (wages)'!$C$24:$C$35</definedName>
    <definedName name="_23__123Graph_CCHART_5" hidden="1">'[14]Employment Data Sectors (wages)'!$C$24:$C$35</definedName>
    <definedName name="_23__123Graph_CCHART_6" hidden="1">'[15]Employment Data Sectors (wages)'!$U$49:$U$8103</definedName>
    <definedName name="_24__123Graph_BCHART_1" hidden="1">'[13]Employment Data Sectors (wages)'!$B$8173:$B$8184</definedName>
    <definedName name="_24__123Graph_CCHART_6" hidden="1">'[14]Employment Data Sectors (wages)'!$U$49:$U$8103</definedName>
    <definedName name="_24__123Graph_CCHART_7" hidden="1">'[15]Employment Data Sectors (wages)'!$Y$14:$Y$25</definedName>
    <definedName name="_25__123Graph_ACHART_1" localSheetId="27" hidden="1">'[16]Employment Data Sectors (wages)'!$A$8173:$A$8184</definedName>
    <definedName name="_25__123Graph_ACHART_1" hidden="1">'[17]Employment Data Sectors (wages)'!$A$8173:$A$8184</definedName>
    <definedName name="_25__123Graph_CCHART_7" hidden="1">'[14]Employment Data Sectors (wages)'!$Y$14:$Y$25</definedName>
    <definedName name="_25__123Graph_CCHART_8" hidden="1">'[15]Employment Data Sectors (wages)'!$W$14:$W$25</definedName>
    <definedName name="_26__123Graph_BCHART_2" hidden="1">'[13]Employment Data Sectors (wages)'!$B$8173:$B$8184</definedName>
    <definedName name="_26__123Graph_CCHART_8" hidden="1">'[14]Employment Data Sectors (wages)'!$W$14:$W$25</definedName>
    <definedName name="_26__123Graph_DCHART_7" hidden="1">'[15]Employment Data Sectors (wages)'!$Y$26:$Y$37</definedName>
    <definedName name="_27__123Graph_ACHART_2" localSheetId="27" hidden="1">'[18]Employment Data Sectors (wages)'!$A$8173:$A$8184</definedName>
    <definedName name="_27__123Graph_DCHART_7" hidden="1">'[14]Employment Data Sectors (wages)'!$Y$26:$Y$37</definedName>
    <definedName name="_27__123Graph_DCHART_8" hidden="1">'[15]Employment Data Sectors (wages)'!$W$26:$W$37</definedName>
    <definedName name="_28__123Graph_BCHART_3" hidden="1">'[13]Employment Data Sectors (wages)'!$B$11:$B$8185</definedName>
    <definedName name="_28__123Graph_DCHART_8" hidden="1">'[14]Employment Data Sectors (wages)'!$W$26:$W$37</definedName>
    <definedName name="_28__123Graph_ECHART_7" hidden="1">'[15]Employment Data Sectors (wages)'!$Y$38:$Y$49</definedName>
    <definedName name="_29__123Graph_ECHART_7" hidden="1">'[14]Employment Data Sectors (wages)'!$Y$38:$Y$49</definedName>
    <definedName name="_29__123Graph_ECHART_8" hidden="1">'[15]Employment Data Sectors (wages)'!$H$86:$H$99</definedName>
    <definedName name="_2Macros_Import_.qbop">[19]!'[Macros Import].qbop'</definedName>
    <definedName name="_3__123Graph_ACHART_1" hidden="1">'[14]Employment Data Sectors (wages)'!$A$8173:$A$8184</definedName>
    <definedName name="_3__123Graph_ACHART_2" hidden="1">'[15]Employment Data Sectors (wages)'!$A$8173:$A$8184</definedName>
    <definedName name="_30__123Graph_ACHART_2" localSheetId="27" hidden="1">'[16]Employment Data Sectors (wages)'!$A$8173:$A$8184</definedName>
    <definedName name="_30__123Graph_ACHART_2" hidden="1">'[17]Employment Data Sectors (wages)'!$A$8173:$A$8184</definedName>
    <definedName name="_30__123Graph_BCHART_4" hidden="1">'[13]Employment Data Sectors (wages)'!$B$12:$B$23</definedName>
    <definedName name="_30__123Graph_ECHART_8" hidden="1">'[14]Employment Data Sectors (wages)'!$H$86:$H$99</definedName>
    <definedName name="_30__123Graph_FCHART_8" hidden="1">'[15]Employment Data Sectors (wages)'!$H$6:$H$17</definedName>
    <definedName name="_31__123Graph_FCHART_8" hidden="1">'[14]Employment Data Sectors (wages)'!$H$6:$H$17</definedName>
    <definedName name="_32__123Graph_ACHART_3" localSheetId="27" hidden="1">'[18]Employment Data Sectors (wages)'!$A$11:$A$8185</definedName>
    <definedName name="_32__123Graph_BCHART_5" hidden="1">'[13]Employment Data Sectors (wages)'!$B$24:$B$35</definedName>
    <definedName name="_34__123Graph_BCHART_6" hidden="1">'[13]Employment Data Sectors (wages)'!$AS$49:$AS$8103</definedName>
    <definedName name="_35__123Graph_ACHART_3" localSheetId="27" hidden="1">'[16]Employment Data Sectors (wages)'!$A$11:$A$8185</definedName>
    <definedName name="_35__123Graph_ACHART_3" hidden="1">'[17]Employment Data Sectors (wages)'!$A$11:$A$8185</definedName>
    <definedName name="_36__123Graph_BCHART_7" hidden="1">'[13]Employment Data Sectors (wages)'!$Y$13:$Y$8187</definedName>
    <definedName name="_37__123Graph_ACHART_4" localSheetId="27" hidden="1">'[18]Employment Data Sectors (wages)'!$A$12:$A$23</definedName>
    <definedName name="_38__123Graph_BCHART_8" hidden="1">'[13]Employment Data Sectors (wages)'!$W$13:$W$8187</definedName>
    <definedName name="_4__123Graph_ACHART_2" hidden="1">'[14]Employment Data Sectors (wages)'!$A$8173:$A$8184</definedName>
    <definedName name="_4__123Graph_ACHART_3" hidden="1">'[15]Employment Data Sectors (wages)'!$A$11:$A$8185</definedName>
    <definedName name="_40__123Graph_ACHART_4" localSheetId="27" hidden="1">'[16]Employment Data Sectors (wages)'!$A$12:$A$23</definedName>
    <definedName name="_40__123Graph_ACHART_4" hidden="1">'[17]Employment Data Sectors (wages)'!$A$12:$A$23</definedName>
    <definedName name="_40__123Graph_CCHART_1" hidden="1">'[13]Employment Data Sectors (wages)'!$C$8173:$C$8184</definedName>
    <definedName name="_42__123Graph_ACHART_5" localSheetId="27" hidden="1">'[18]Employment Data Sectors (wages)'!$A$24:$A$35</definedName>
    <definedName name="_42__123Graph_CCHART_2" hidden="1">'[13]Employment Data Sectors (wages)'!$C$8173:$C$8184</definedName>
    <definedName name="_44__123Graph_CCHART_3" hidden="1">'[13]Employment Data Sectors (wages)'!$C$11:$C$8185</definedName>
    <definedName name="_45__123Graph_ACHART_5" localSheetId="27" hidden="1">'[16]Employment Data Sectors (wages)'!$A$24:$A$35</definedName>
    <definedName name="_45__123Graph_ACHART_5" hidden="1">'[17]Employment Data Sectors (wages)'!$A$24:$A$35</definedName>
    <definedName name="_46__123Graph_CCHART_4" hidden="1">'[13]Employment Data Sectors (wages)'!$C$12:$C$23</definedName>
    <definedName name="_47__123Graph_ACHART_6" localSheetId="27" hidden="1">'[18]Employment Data Sectors (wages)'!$Y$49:$Y$8103</definedName>
    <definedName name="_48__123Graph_CCHART_5" hidden="1">'[13]Employment Data Sectors (wages)'!$C$24:$C$35</definedName>
    <definedName name="_5__123Graph_ACHART_3" hidden="1">'[14]Employment Data Sectors (wages)'!$A$11:$A$8185</definedName>
    <definedName name="_5__123Graph_ACHART_4" hidden="1">'[15]Employment Data Sectors (wages)'!$A$12:$A$23</definedName>
    <definedName name="_50__123Graph_ACHART_6" localSheetId="27" hidden="1">'[16]Employment Data Sectors (wages)'!$Y$49:$Y$8103</definedName>
    <definedName name="_50__123Graph_ACHART_6" hidden="1">'[17]Employment Data Sectors (wages)'!$Y$49:$Y$8103</definedName>
    <definedName name="_50__123Graph_CCHART_6" hidden="1">'[13]Employment Data Sectors (wages)'!$U$49:$U$8103</definedName>
    <definedName name="_52__123Graph_ACHART_7" localSheetId="27" hidden="1">'[18]Employment Data Sectors (wages)'!$Y$8175:$Y$8186</definedName>
    <definedName name="_52__123Graph_CCHART_7" hidden="1">'[13]Employment Data Sectors (wages)'!$Y$14:$Y$25</definedName>
    <definedName name="_54__123Graph_CCHART_8" hidden="1">'[13]Employment Data Sectors (wages)'!$W$14:$W$25</definedName>
    <definedName name="_55__123Graph_ACHART_7" localSheetId="27" hidden="1">'[16]Employment Data Sectors (wages)'!$Y$8175:$Y$8186</definedName>
    <definedName name="_55__123Graph_ACHART_7" hidden="1">'[17]Employment Data Sectors (wages)'!$Y$8175:$Y$8186</definedName>
    <definedName name="_56__123Graph_DCHART_7" hidden="1">'[13]Employment Data Sectors (wages)'!$Y$26:$Y$37</definedName>
    <definedName name="_57__123Graph_ACHART_8" localSheetId="27" hidden="1">'[18]Employment Data Sectors (wages)'!$W$8175:$W$8186</definedName>
    <definedName name="_58__123Graph_DCHART_8" hidden="1">'[13]Employment Data Sectors (wages)'!$W$26:$W$37</definedName>
    <definedName name="_5Macros_Import_.qbop" localSheetId="27">[19]!'[Macros Import].qbop'</definedName>
    <definedName name="_6__123Graph_ACHART_4" hidden="1">'[14]Employment Data Sectors (wages)'!$A$12:$A$23</definedName>
    <definedName name="_6__123Graph_ACHART_5" hidden="1">'[15]Employment Data Sectors (wages)'!$A$24:$A$35</definedName>
    <definedName name="_60__123Graph_ACHART_8" localSheetId="27" hidden="1">'[16]Employment Data Sectors (wages)'!$W$8175:$W$8186</definedName>
    <definedName name="_60__123Graph_ACHART_8" hidden="1">'[17]Employment Data Sectors (wages)'!$W$8175:$W$8186</definedName>
    <definedName name="_60__123Graph_ECHART_7" hidden="1">'[13]Employment Data Sectors (wages)'!$Y$38:$Y$49</definedName>
    <definedName name="_62__123Graph_BCHART_1" localSheetId="27" hidden="1">'[18]Employment Data Sectors (wages)'!$B$8173:$B$8184</definedName>
    <definedName name="_62__123Graph_ECHART_8" hidden="1">'[13]Employment Data Sectors (wages)'!$H$86:$H$99</definedName>
    <definedName name="_64__123Graph_FCHART_8" hidden="1">'[13]Employment Data Sectors (wages)'!$H$6:$H$17</definedName>
    <definedName name="_65__123Graph_BCHART_1" localSheetId="27" hidden="1">'[16]Employment Data Sectors (wages)'!$B$8173:$B$8184</definedName>
    <definedName name="_65__123Graph_BCHART_1" hidden="1">'[17]Employment Data Sectors (wages)'!$B$8173:$B$8184</definedName>
    <definedName name="_67__123Graph_BCHART_2" localSheetId="27" hidden="1">'[18]Employment Data Sectors (wages)'!$B$8173:$B$8184</definedName>
    <definedName name="_6Macros_Import_.qbop">[19]!'[Macros Import].qbop'</definedName>
    <definedName name="_7__123Graph_ACHART_5" hidden="1">'[14]Employment Data Sectors (wages)'!$A$24:$A$35</definedName>
    <definedName name="_7__123Graph_ACHART_6" hidden="1">'[15]Employment Data Sectors (wages)'!$Y$49:$Y$8103</definedName>
    <definedName name="_70__123Graph_BCHART_2" localSheetId="27" hidden="1">'[16]Employment Data Sectors (wages)'!$B$8173:$B$8184</definedName>
    <definedName name="_70__123Graph_BCHART_2" hidden="1">'[17]Employment Data Sectors (wages)'!$B$8173:$B$8184</definedName>
    <definedName name="_72__123Graph_BCHART_3" localSheetId="27" hidden="1">'[18]Employment Data Sectors (wages)'!$B$11:$B$8185</definedName>
    <definedName name="_75__123Graph_BCHART_3" localSheetId="27" hidden="1">'[16]Employment Data Sectors (wages)'!$B$11:$B$8185</definedName>
    <definedName name="_75__123Graph_BCHART_3" hidden="1">'[17]Employment Data Sectors (wages)'!$B$11:$B$8185</definedName>
    <definedName name="_77__123Graph_BCHART_4" localSheetId="27" hidden="1">'[18]Employment Data Sectors (wages)'!$B$12:$B$23</definedName>
    <definedName name="_8__123Graph_ACHART_1" hidden="1">'[13]Employment Data Sectors (wages)'!$A$8173:$A$8184</definedName>
    <definedName name="_8__123Graph_ACHART_6" hidden="1">'[14]Employment Data Sectors (wages)'!$Y$49:$Y$8103</definedName>
    <definedName name="_8__123Graph_ACHART_7" hidden="1">'[15]Employment Data Sectors (wages)'!$Y$8175:$Y$8186</definedName>
    <definedName name="_80__123Graph_BCHART_4" localSheetId="27" hidden="1">'[16]Employment Data Sectors (wages)'!$B$12:$B$23</definedName>
    <definedName name="_80__123Graph_BCHART_4" hidden="1">'[17]Employment Data Sectors (wages)'!$B$12:$B$23</definedName>
    <definedName name="_82__123Graph_BCHART_5" localSheetId="27" hidden="1">'[18]Employment Data Sectors (wages)'!$B$24:$B$35</definedName>
    <definedName name="_85__123Graph_BCHART_5" localSheetId="27" hidden="1">'[16]Employment Data Sectors (wages)'!$B$24:$B$35</definedName>
    <definedName name="_85__123Graph_BCHART_5" hidden="1">'[17]Employment Data Sectors (wages)'!$B$24:$B$35</definedName>
    <definedName name="_87__123Graph_BCHART_6" localSheetId="27" hidden="1">'[18]Employment Data Sectors (wages)'!$AS$49:$AS$8103</definedName>
    <definedName name="_9__123Graph_ACHART_7" hidden="1">'[14]Employment Data Sectors (wages)'!$Y$8175:$Y$8186</definedName>
    <definedName name="_9__123Graph_ACHART_8" hidden="1">'[15]Employment Data Sectors (wages)'!$W$8175:$W$8186</definedName>
    <definedName name="_90__123Graph_BCHART_6" localSheetId="27" hidden="1">'[16]Employment Data Sectors (wages)'!$AS$49:$AS$8103</definedName>
    <definedName name="_90__123Graph_BCHART_6" hidden="1">'[17]Employment Data Sectors (wages)'!$AS$49:$AS$8103</definedName>
    <definedName name="_92__123Graph_BCHART_7" localSheetId="27" hidden="1">'[18]Employment Data Sectors (wages)'!$Y$13:$Y$8187</definedName>
    <definedName name="_95__123Graph_BCHART_7" localSheetId="27" hidden="1">'[16]Employment Data Sectors (wages)'!$Y$13:$Y$8187</definedName>
    <definedName name="_95__123Graph_BCHART_7" hidden="1">'[17]Employment Data Sectors (wages)'!$Y$13:$Y$8187</definedName>
    <definedName name="_97__123Graph_BCHART_8" localSheetId="27" hidden="1">'[18]Employment Data Sectors (wages)'!$W$13:$W$8187</definedName>
    <definedName name="_BOP1" localSheetId="27">#REF!</definedName>
    <definedName name="_BOP1" localSheetId="28">#REF!</definedName>
    <definedName name="_BOP1" localSheetId="29">#REF!</definedName>
    <definedName name="_BOP1">#REF!</definedName>
    <definedName name="_BOP2" localSheetId="27">[1]BoP!#REF!</definedName>
    <definedName name="_BOP2" localSheetId="28">[1]BoP!#REF!</definedName>
    <definedName name="_BOP2" localSheetId="29">[1]BoP!#REF!</definedName>
    <definedName name="_BOP2">[1]BoP!#REF!</definedName>
    <definedName name="_dat1" localSheetId="27">'[2]work Q real'!#REF!</definedName>
    <definedName name="_dat1" localSheetId="28">'[2]work Q real'!#REF!</definedName>
    <definedName name="_dat1" localSheetId="29">'[2]work Q real'!#REF!</definedName>
    <definedName name="_dat1">'[2]work Q real'!#REF!</definedName>
    <definedName name="_dat2" localSheetId="27">#REF!</definedName>
    <definedName name="_dat2" localSheetId="28">#REF!</definedName>
    <definedName name="_dat2" localSheetId="29">#REF!</definedName>
    <definedName name="_dat2">#REF!</definedName>
    <definedName name="_EXP5" localSheetId="27">#REF!</definedName>
    <definedName name="_EXP5" localSheetId="28">#REF!</definedName>
    <definedName name="_EXP5" localSheetId="29">#REF!</definedName>
    <definedName name="_EXP5">#REF!</definedName>
    <definedName name="_EXP6" localSheetId="27">#REF!</definedName>
    <definedName name="_EXP6" localSheetId="28">#REF!</definedName>
    <definedName name="_EXP6" localSheetId="29">#REF!</definedName>
    <definedName name="_EXP6">#REF!</definedName>
    <definedName name="_EXP7" localSheetId="27">#REF!</definedName>
    <definedName name="_EXP7">#REF!</definedName>
    <definedName name="_EXP9" localSheetId="27">#REF!</definedName>
    <definedName name="_EXP9">#REF!</definedName>
    <definedName name="_Fill" localSheetId="14" hidden="1">#REF!</definedName>
    <definedName name="_Fill" localSheetId="27" hidden="1">#REF!</definedName>
    <definedName name="_Fill" hidden="1">#REF!</definedName>
    <definedName name="_ftn1" localSheetId="10">'Graf 12'!$B$8</definedName>
    <definedName name="_ftnref1" localSheetId="10">'Graf 12'!$B$5</definedName>
    <definedName name="_IMP10" localSheetId="27">#REF!</definedName>
    <definedName name="_IMP10">#REF!</definedName>
    <definedName name="_IMP2" localSheetId="27">#REF!</definedName>
    <definedName name="_IMP2">#REF!</definedName>
    <definedName name="_IMP4" localSheetId="27">#REF!</definedName>
    <definedName name="_IMP4">#REF!</definedName>
    <definedName name="_IMP6" localSheetId="27">#REF!</definedName>
    <definedName name="_IMP6">#REF!</definedName>
    <definedName name="_IMP7" localSheetId="27">#REF!</definedName>
    <definedName name="_IMP7">#REF!</definedName>
    <definedName name="_IMP8" localSheetId="27">#REF!</definedName>
    <definedName name="_IMP8">#REF!</definedName>
    <definedName name="_MTS2" localSheetId="27">'[3]Annual Tables'!#REF!</definedName>
    <definedName name="_MTS2">'[3]Annual Tables'!#REF!</definedName>
    <definedName name="_Order1" hidden="1">255</definedName>
    <definedName name="_Order2" hidden="1">255</definedName>
    <definedName name="_OUT1" localSheetId="27">#REF!</definedName>
    <definedName name="_OUT1" localSheetId="28">#REF!</definedName>
    <definedName name="_OUT1" localSheetId="29">#REF!</definedName>
    <definedName name="_OUT1">#REF!</definedName>
    <definedName name="_OUT2" localSheetId="27">#REF!</definedName>
    <definedName name="_OUT2" localSheetId="28">#REF!</definedName>
    <definedName name="_OUT2" localSheetId="29">#REF!</definedName>
    <definedName name="_OUT2">#REF!</definedName>
    <definedName name="_PAG2" localSheetId="27">[3]Index!#REF!</definedName>
    <definedName name="_PAG2" localSheetId="28">[3]Index!#REF!</definedName>
    <definedName name="_PAG2" localSheetId="29">[3]Index!#REF!</definedName>
    <definedName name="_PAG2">[3]Index!#REF!</definedName>
    <definedName name="_PAG3" localSheetId="27">[3]Index!#REF!</definedName>
    <definedName name="_PAG3" localSheetId="28">[3]Index!#REF!</definedName>
    <definedName name="_PAG3" localSheetId="29">[3]Index!#REF!</definedName>
    <definedName name="_PAG3">[3]Index!#REF!</definedName>
    <definedName name="_PAG4" localSheetId="27">[3]Index!#REF!</definedName>
    <definedName name="_PAG4">[3]Index!#REF!</definedName>
    <definedName name="_PAG5" localSheetId="27">[3]Index!#REF!</definedName>
    <definedName name="_PAG5">[3]Index!#REF!</definedName>
    <definedName name="_PAG6" localSheetId="27">[3]Index!#REF!</definedName>
    <definedName name="_PAG6">[3]Index!#REF!</definedName>
    <definedName name="_PAG7" localSheetId="27">#REF!</definedName>
    <definedName name="_PAG7" localSheetId="28">#REF!</definedName>
    <definedName name="_PAG7" localSheetId="29">#REF!</definedName>
    <definedName name="_PAG7">#REF!</definedName>
    <definedName name="_pro2001">[12]pro2001!$A$1:$B$72</definedName>
    <definedName name="_r13">[20]splatnosti!$V$39</definedName>
    <definedName name="_r14">[20]splatnosti!$V$40</definedName>
    <definedName name="_Regression_X" localSheetId="9" hidden="1">#REF!</definedName>
    <definedName name="_Regression_X" localSheetId="10" hidden="1">#REF!</definedName>
    <definedName name="_Regression_X" localSheetId="14" hidden="1">#REF!</definedName>
    <definedName name="_Regression_X" localSheetId="27" hidden="1">#REF!</definedName>
    <definedName name="_Regression_X" hidden="1">#REF!</definedName>
    <definedName name="_Regression_Y" localSheetId="9" hidden="1">#REF!</definedName>
    <definedName name="_Regression_Y" localSheetId="14" hidden="1">#REF!</definedName>
    <definedName name="_Regression_Y" localSheetId="27" hidden="1">#REF!</definedName>
    <definedName name="_Regression_Y" hidden="1">#REF!</definedName>
    <definedName name="_RES2" localSheetId="27">[1]RES!#REF!</definedName>
    <definedName name="_RES2">[1]RES!#REF!</definedName>
    <definedName name="_RULC" localSheetId="27">[6]REER!$BA$144:$BA$206</definedName>
    <definedName name="_RULC">[21]REER!$BA$144:$BA$206</definedName>
    <definedName name="_TAB1" localSheetId="27">#REF!</definedName>
    <definedName name="_TAB1" localSheetId="28">#REF!</definedName>
    <definedName name="_TAB1" localSheetId="29">#REF!</definedName>
    <definedName name="_TAB1">#REF!</definedName>
    <definedName name="_TAB10" localSheetId="27">#REF!</definedName>
    <definedName name="_TAB10" localSheetId="28">#REF!</definedName>
    <definedName name="_TAB10" localSheetId="29">#REF!</definedName>
    <definedName name="_TAB10">#REF!</definedName>
    <definedName name="_TAB12" localSheetId="27">#REF!</definedName>
    <definedName name="_TAB12" localSheetId="28">#REF!</definedName>
    <definedName name="_TAB12" localSheetId="29">#REF!</definedName>
    <definedName name="_TAB12">#REF!</definedName>
    <definedName name="_Tab19" localSheetId="27">#REF!</definedName>
    <definedName name="_Tab19">#REF!</definedName>
    <definedName name="_TAB2" localSheetId="27">#REF!</definedName>
    <definedName name="_TAB2">#REF!</definedName>
    <definedName name="_Tab20" localSheetId="27">#REF!</definedName>
    <definedName name="_Tab20">#REF!</definedName>
    <definedName name="_Tab21" localSheetId="27">#REF!</definedName>
    <definedName name="_Tab21">#REF!</definedName>
    <definedName name="_Tab22" localSheetId="27">#REF!</definedName>
    <definedName name="_Tab22">#REF!</definedName>
    <definedName name="_Tab23" localSheetId="27">#REF!</definedName>
    <definedName name="_Tab23">#REF!</definedName>
    <definedName name="_Tab24" localSheetId="27">#REF!</definedName>
    <definedName name="_Tab24">#REF!</definedName>
    <definedName name="_Tab26" localSheetId="27">#REF!</definedName>
    <definedName name="_Tab26">#REF!</definedName>
    <definedName name="_Tab27" localSheetId="27">#REF!</definedName>
    <definedName name="_Tab27">#REF!</definedName>
    <definedName name="_Tab28" localSheetId="27">#REF!</definedName>
    <definedName name="_Tab28">#REF!</definedName>
    <definedName name="_Tab29" localSheetId="27">#REF!</definedName>
    <definedName name="_Tab29">#REF!</definedName>
    <definedName name="_TAB3" localSheetId="27">#REF!</definedName>
    <definedName name="_TAB3">#REF!</definedName>
    <definedName name="_Tab30" localSheetId="27">#REF!</definedName>
    <definedName name="_Tab30">#REF!</definedName>
    <definedName name="_Tab31" localSheetId="27">#REF!</definedName>
    <definedName name="_Tab31">#REF!</definedName>
    <definedName name="_Tab32" localSheetId="27">#REF!</definedName>
    <definedName name="_Tab32">#REF!</definedName>
    <definedName name="_Tab33" localSheetId="27">#REF!</definedName>
    <definedName name="_Tab33">#REF!</definedName>
    <definedName name="_Tab34" localSheetId="27">#REF!</definedName>
    <definedName name="_Tab34">#REF!</definedName>
    <definedName name="_Tab35" localSheetId="27">#REF!</definedName>
    <definedName name="_Tab35">#REF!</definedName>
    <definedName name="_TAB4" localSheetId="27">#REF!</definedName>
    <definedName name="_TAB4">#REF!</definedName>
    <definedName name="_TAB5" localSheetId="27">#REF!</definedName>
    <definedName name="_TAB5">#REF!</definedName>
    <definedName name="_tab6" localSheetId="27">#REF!</definedName>
    <definedName name="_tab6">#REF!</definedName>
    <definedName name="_TAB7" localSheetId="27">#REF!</definedName>
    <definedName name="_TAB7">#REF!</definedName>
    <definedName name="_TAB8" localSheetId="27">#REF!</definedName>
    <definedName name="_TAB8">#REF!</definedName>
    <definedName name="_tab9" localSheetId="27">#REF!</definedName>
    <definedName name="_tab9">#REF!</definedName>
    <definedName name="_TB41" localSheetId="27">#REF!</definedName>
    <definedName name="_TB41">#REF!</definedName>
    <definedName name="_Toc463861271" localSheetId="28">'Graf 31+32 '!$B$20</definedName>
    <definedName name="_Toc480577940" localSheetId="29">'Graf 33+34'!$B$18</definedName>
    <definedName name="_Toc480577941" localSheetId="29">'Graf 33+34'!$R$18</definedName>
    <definedName name="_Toc495334756" localSheetId="15">'Tab 6 + Graf 17 + 18'!$B$5</definedName>
    <definedName name="_Toc495395911" localSheetId="10">'Graf 12'!$B$5</definedName>
    <definedName name="_Toc495395955" localSheetId="11">'Tabuľka 3'!$B$4</definedName>
    <definedName name="_Toc495395966" localSheetId="32">'Tabuľka 15'!$B$4</definedName>
    <definedName name="_Toc526688278" localSheetId="20">'Tabuľka 7'!$B$2</definedName>
    <definedName name="_Toc526688279" localSheetId="21">'Tabuľka 8'!$B$4</definedName>
    <definedName name="_Toc526688280" localSheetId="23">'Tabuľka 9 '!$B$4</definedName>
    <definedName name="_Toc526783490" localSheetId="23">'Tabuľka 9 '!$B$31</definedName>
    <definedName name="_Toc526783491" localSheetId="24">'Tabuľka 10 +11+12'!$B$31</definedName>
    <definedName name="_Toc526783492" localSheetId="24">'Tabuľka 10 +11+12'!$B$40</definedName>
    <definedName name="_Toc526783493" localSheetId="24">'Tabuľka 10 +11+12'!$B$48</definedName>
    <definedName name="_WEO1" localSheetId="27">#REF!</definedName>
    <definedName name="_WEO1" localSheetId="28">#REF!</definedName>
    <definedName name="_WEO1" localSheetId="29">#REF!</definedName>
    <definedName name="_WEO1">#REF!</definedName>
    <definedName name="_WEO2" localSheetId="27">#REF!</definedName>
    <definedName name="_WEO2" localSheetId="28">#REF!</definedName>
    <definedName name="_WEO2" localSheetId="29">#REF!</definedName>
    <definedName name="_WEO2">#REF!</definedName>
    <definedName name="a" hidden="1">[21]REER!$AZ$144:$AZ$210</definedName>
    <definedName name="aaa" hidden="1">'[10]i2-KA'!#REF!</definedName>
    <definedName name="aaaaaaaaaaaaaa" localSheetId="27">'Graf 29 + 30'!aaaaaaaaaaaaaa</definedName>
    <definedName name="aaaaaaaaaaaaaa">[22]!aaaaaaaaaaaaaa</definedName>
    <definedName name="aas" localSheetId="27">[23]Contents!$A$1:$C$25</definedName>
    <definedName name="aas">[24]Contents!$A$1:$C$25</definedName>
    <definedName name="aloha" localSheetId="9" hidden="1">'[25]i2-KA'!#REF!</definedName>
    <definedName name="aloha" localSheetId="14" hidden="1">'[25]i2-KA'!#REF!</definedName>
    <definedName name="aloha" localSheetId="27" hidden="1">'[25]i2-KA'!#REF!</definedName>
    <definedName name="aloha" localSheetId="28" hidden="1">'[25]i2-KA'!#REF!</definedName>
    <definedName name="aloha" localSheetId="29" hidden="1">'[25]i2-KA'!#REF!</definedName>
    <definedName name="aloha" hidden="1">'[25]i2-KA'!#REF!</definedName>
    <definedName name="ANNUALNOM" localSheetId="27">#REF!</definedName>
    <definedName name="ANNUALNOM" localSheetId="28">#REF!</definedName>
    <definedName name="ANNUALNOM" localSheetId="29">#REF!</definedName>
    <definedName name="ANNUALNOM">#REF!</definedName>
    <definedName name="as" localSheetId="27">'[23]i-REER'!$A$2:$F$104</definedName>
    <definedName name="as">'[24]i-REER'!$A$2:$F$104</definedName>
    <definedName name="ASSUM" localSheetId="27">#REF!</definedName>
    <definedName name="ASSUM" localSheetId="28">#REF!</definedName>
    <definedName name="ASSUM" localSheetId="29">#REF!</definedName>
    <definedName name="ASSUM">#REF!</definedName>
    <definedName name="ASSUMB" localSheetId="27">#REF!</definedName>
    <definedName name="ASSUMB" localSheetId="28">#REF!</definedName>
    <definedName name="ASSUMB" localSheetId="29">#REF!</definedName>
    <definedName name="ASSUMB">#REF!</definedName>
    <definedName name="atrade" localSheetId="27">[19]!atrade</definedName>
    <definedName name="atrade">[19]!atrade</definedName>
    <definedName name="b" localSheetId="27">#REF!</definedName>
    <definedName name="b" localSheetId="28">#REF!</definedName>
    <definedName name="b" localSheetId="29">#REF!</definedName>
    <definedName name="b">#REF!</definedName>
    <definedName name="BAKLANBOPB" localSheetId="27">#REF!</definedName>
    <definedName name="BAKLANBOPB" localSheetId="28">#REF!</definedName>
    <definedName name="BAKLANBOPB" localSheetId="29">#REF!</definedName>
    <definedName name="BAKLANBOPB">#REF!</definedName>
    <definedName name="BAKLANDEBT2B" localSheetId="27">#REF!</definedName>
    <definedName name="BAKLANDEBT2B" localSheetId="28">#REF!</definedName>
    <definedName name="BAKLANDEBT2B" localSheetId="29">#REF!</definedName>
    <definedName name="BAKLANDEBT2B">#REF!</definedName>
    <definedName name="BAKLDEBT1B">#REF!</definedName>
    <definedName name="BASDAT" localSheetId="27">'[3]Annual Tables'!#REF!</definedName>
    <definedName name="BASDAT">'[3]Annual Tables'!#REF!</definedName>
    <definedName name="bb" localSheetId="10" hidden="1">{"Riqfin97",#N/A,FALSE,"Tran";"Riqfinpro",#N/A,FALSE,"Tran"}</definedName>
    <definedName name="bb" localSheetId="14" hidden="1">{"Riqfin97",#N/A,FALSE,"Tran";"Riqfinpro",#N/A,FALSE,"Tran"}</definedName>
    <definedName name="bb" localSheetId="27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1" hidden="1">{"Riqfin97",#N/A,FALSE,"Tran";"Riqfinpro",#N/A,FALSE,"Tran"}</definedName>
    <definedName name="bb" localSheetId="15" hidden="1">{"Riqfin97",#N/A,FALSE,"Tran";"Riqfinpro",#N/A,FALSE,"Tran"}</definedName>
    <definedName name="bb" localSheetId="12" hidden="1">{"Riqfin97",#N/A,FALSE,"Tran";"Riqfinpro",#N/A,FALSE,"Tran"}</definedName>
    <definedName name="bb" hidden="1">{"Riqfin97",#N/A,FALSE,"Tran";"Riqfinpro",#N/A,FALSE,"Tran"}</definedName>
    <definedName name="bbb" localSheetId="10" hidden="1">{"Riqfin97",#N/A,FALSE,"Tran";"Riqfinpro",#N/A,FALSE,"Tran"}</definedName>
    <definedName name="bbb" localSheetId="14" hidden="1">{"Riqfin97",#N/A,FALSE,"Tran";"Riqfinpro",#N/A,FALSE,"Tran"}</definedName>
    <definedName name="bbb" localSheetId="27" hidden="1">{"Riqfin97",#N/A,FALSE,"Tran";"Riqfinpro",#N/A,FALSE,"Tran"}</definedName>
    <definedName name="bbb" localSheetId="28" hidden="1">{"Riqfin97",#N/A,FALSE,"Tran";"Riqfinpro",#N/A,FALSE,"Tran"}</definedName>
    <definedName name="bbb" localSheetId="29" hidden="1">{"Riqfin97",#N/A,FALSE,"Tran";"Riqfinpro",#N/A,FALSE,"Tran"}</definedName>
    <definedName name="bbb" localSheetId="1" hidden="1">{"Riqfin97",#N/A,FALSE,"Tran";"Riqfinpro",#N/A,FALSE,"Tran"}</definedName>
    <definedName name="bbb" localSheetId="15" hidden="1">{"Riqfin97",#N/A,FALSE,"Tran";"Riqfinpro",#N/A,FALSE,"Tran"}</definedName>
    <definedName name="bbb" localSheetId="12" hidden="1">{"Riqfin97",#N/A,FALSE,"Tran";"Riqfinpro",#N/A,FALSE,"Tran"}</definedName>
    <definedName name="bbb" hidden="1">{"Riqfin97",#N/A,FALSE,"Tran";"Riqfinpro",#N/A,FALSE,"Tran"}</definedName>
    <definedName name="bbbbbbbbbbbbbb" localSheetId="27">'Graf 29 + 30'!bbbbbbbbbbbbbb</definedName>
    <definedName name="bbbbbbbbbbbbbb">[22]!bbbbbbbbbbbbbb</definedName>
    <definedName name="BCA">#N/A</definedName>
    <definedName name="BCA_GDP">#N/A</definedName>
    <definedName name="BE">#N/A</definedName>
    <definedName name="BEA" localSheetId="27">'[26]WEO-BOP'!#REF!</definedName>
    <definedName name="BEA" localSheetId="28">'[26]WEO-BOP'!#REF!</definedName>
    <definedName name="BEA" localSheetId="29">'[26]WEO-BOP'!#REF!</definedName>
    <definedName name="BEA">'[26]WEO-BOP'!#REF!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27">#REF!</definedName>
    <definedName name="BEDE" localSheetId="28">#REF!</definedName>
    <definedName name="BEDE" localSheetId="29">#REF!</definedName>
    <definedName name="BEDE">#REF!</definedName>
    <definedName name="BER" localSheetId="27">'[26]WEO-BOP'!#REF!</definedName>
    <definedName name="BER" localSheetId="28">'[26]WEO-BOP'!#REF!</definedName>
    <definedName name="BER" localSheetId="29">'[26]WEO-BOP'!#REF!</definedName>
    <definedName name="BER">'[26]WEO-BOP'!#REF!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7">'[26]WEO-BOP'!#REF!</definedName>
    <definedName name="BFD" localSheetId="28">'[26]WEO-BOP'!#REF!</definedName>
    <definedName name="BFD" localSheetId="29">'[26]WEO-BOP'!#REF!</definedName>
    <definedName name="BFD">'[26]WEO-BOP'!#REF!</definedName>
    <definedName name="BFDI" localSheetId="27">'[26]WEO-BOP'!#REF!</definedName>
    <definedName name="BFDI" localSheetId="28">'[26]WEO-BOP'!#REF!</definedName>
    <definedName name="BFDI" localSheetId="29">'[26]WEO-BOP'!#REF!</definedName>
    <definedName name="BFDI">'[26]WEO-BOP'!#REF!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27">'Graf 29 + 30'!BFLD_DF</definedName>
    <definedName name="BFLD_DF">[22]!BFLD_DF</definedName>
    <definedName name="BFLG">#N/A</definedName>
    <definedName name="BFLG_D">#N/A</definedName>
    <definedName name="BFLG_DF">#N/A</definedName>
    <definedName name="BFO" localSheetId="27">'[26]WEO-BOP'!#REF!</definedName>
    <definedName name="BFO" localSheetId="28">'[26]WEO-BOP'!#REF!</definedName>
    <definedName name="BFO" localSheetId="29">'[26]WEO-BOP'!#REF!</definedName>
    <definedName name="BFO">'[26]WEO-BOP'!#REF!</definedName>
    <definedName name="BFOA" localSheetId="27">'[26]WEO-BOP'!#REF!</definedName>
    <definedName name="BFOA" localSheetId="28">'[26]WEO-BOP'!#REF!</definedName>
    <definedName name="BFOA" localSheetId="29">'[26]WEO-BOP'!#REF!</definedName>
    <definedName name="BFOA">'[26]WEO-BOP'!#REF!</definedName>
    <definedName name="BFOAG" localSheetId="27">'[26]WEO-BOP'!#REF!</definedName>
    <definedName name="BFOAG" localSheetId="28">'[26]WEO-BOP'!#REF!</definedName>
    <definedName name="BFOAG" localSheetId="29">'[26]WEO-BOP'!#REF!</definedName>
    <definedName name="BFOAG">'[26]WEO-BOP'!#REF!</definedName>
    <definedName name="BFOG" localSheetId="27">'[26]WEO-BOP'!#REF!</definedName>
    <definedName name="BFOG">'[26]WEO-BOP'!#REF!</definedName>
    <definedName name="BFOL" localSheetId="27">'[26]WEO-BOP'!#REF!</definedName>
    <definedName name="BFOL">'[26]WEO-BOP'!#REF!</definedName>
    <definedName name="BFOL_B" localSheetId="27">'[26]WEO-BOP'!#REF!</definedName>
    <definedName name="BFOL_B">'[26]WEO-BOP'!#REF!</definedName>
    <definedName name="BFOL_G" localSheetId="27">'[26]WEO-BOP'!#REF!</definedName>
    <definedName name="BFOL_G">'[26]WEO-BOP'!#REF!</definedName>
    <definedName name="BFOLG" localSheetId="27">'[26]WEO-BOP'!#REF!</definedName>
    <definedName name="BFOLG">'[26]WEO-BOP'!#REF!</definedName>
    <definedName name="BFP" localSheetId="27">'[26]WEO-BOP'!#REF!</definedName>
    <definedName name="BFP">'[26]WEO-BOP'!#REF!</definedName>
    <definedName name="BFPA" localSheetId="27">'[26]WEO-BOP'!#REF!</definedName>
    <definedName name="BFPA">'[26]WEO-BOP'!#REF!</definedName>
    <definedName name="BFPAG" localSheetId="27">'[26]WEO-BOP'!#REF!</definedName>
    <definedName name="BFPAG">'[26]WEO-BOP'!#REF!</definedName>
    <definedName name="BFPG" localSheetId="27">'[26]WEO-BOP'!#REF!</definedName>
    <definedName name="BFPG">'[26]WEO-BOP'!#REF!</definedName>
    <definedName name="BFPL" localSheetId="27">'[26]WEO-BOP'!#REF!</definedName>
    <definedName name="BFPL">'[26]WEO-BOP'!#REF!</definedName>
    <definedName name="BFPLD" localSheetId="27">'[26]WEO-BOP'!#REF!</definedName>
    <definedName name="BFPLD">'[26]WEO-BOP'!#REF!</definedName>
    <definedName name="BFPLDG" localSheetId="27">'[26]WEO-BOP'!#REF!</definedName>
    <definedName name="BFPLDG">'[26]WEO-BOP'!#REF!</definedName>
    <definedName name="BFPLE" localSheetId="27">'[26]WEO-BOP'!#REF!</definedName>
    <definedName name="BFPLE">'[26]WEO-BOP'!#REF!</definedName>
    <definedName name="BFRA">#N/A</definedName>
    <definedName name="BGS" localSheetId="27">'[26]WEO-BOP'!#REF!</definedName>
    <definedName name="BGS">'[26]WEO-BOP'!#REF!</definedName>
    <definedName name="BI">#N/A</definedName>
    <definedName name="BID" localSheetId="27">'[26]WEO-BOP'!#REF!</definedName>
    <definedName name="BID">'[26]WEO-BOP'!#REF!</definedName>
    <definedName name="BK">#N/A</definedName>
    <definedName name="BKF">#N/A</definedName>
    <definedName name="BMG">[27]Q6!$E$28:$AH$28</definedName>
    <definedName name="BMII">#N/A</definedName>
    <definedName name="BMIIB">#N/A</definedName>
    <definedName name="BMIIG">#N/A</definedName>
    <definedName name="BMS" localSheetId="27">'[26]WEO-BOP'!#REF!</definedName>
    <definedName name="BMS" localSheetId="28">'[26]WEO-BOP'!#REF!</definedName>
    <definedName name="BMS" localSheetId="29">'[26]WEO-BOP'!#REF!</definedName>
    <definedName name="BMS">'[26]WEO-BOP'!#REF!</definedName>
    <definedName name="Bolivia" localSheetId="27">#REF!</definedName>
    <definedName name="Bolivia" localSheetId="28">#REF!</definedName>
    <definedName name="Bolivia" localSheetId="29">#REF!</definedName>
    <definedName name="Bolivia">#REF!</definedName>
    <definedName name="BOP">#N/A</definedName>
    <definedName name="BOPB" localSheetId="27">#REF!</definedName>
    <definedName name="BOPB" localSheetId="28">#REF!</definedName>
    <definedName name="BOPB" localSheetId="29">#REF!</definedName>
    <definedName name="BOPB">#REF!</definedName>
    <definedName name="BOPMEMOB" localSheetId="27">#REF!</definedName>
    <definedName name="BOPMEMOB" localSheetId="28">#REF!</definedName>
    <definedName name="BOPMEMOB" localSheetId="29">#REF!</definedName>
    <definedName name="BOPMEMOB">#REF!</definedName>
    <definedName name="bracket_2" localSheetId="27">[28]Graf14_Graf15!#REF!</definedName>
    <definedName name="bracket_2" localSheetId="28">[28]Graf14_Graf15!#REF!</definedName>
    <definedName name="bracket_2" localSheetId="29">[28]Graf14_Graf15!#REF!</definedName>
    <definedName name="bracket_2">[28]Graf14_Graf15!#REF!</definedName>
    <definedName name="BRASS" localSheetId="27">'[26]WEO-BOP'!#REF!</definedName>
    <definedName name="BRASS" localSheetId="28">'[26]WEO-BOP'!#REF!</definedName>
    <definedName name="BRASS" localSheetId="29">'[26]WEO-BOP'!#REF!</definedName>
    <definedName name="BRASS">'[26]WEO-BOP'!#REF!</definedName>
    <definedName name="Brazil" localSheetId="27">#REF!</definedName>
    <definedName name="Brazil" localSheetId="28">#REF!</definedName>
    <definedName name="Brazil" localSheetId="29">#REF!</definedName>
    <definedName name="Brazil">#REF!</definedName>
    <definedName name="BTR" localSheetId="27">'[26]WEO-BOP'!#REF!</definedName>
    <definedName name="BTR" localSheetId="28">'[26]WEO-BOP'!#REF!</definedName>
    <definedName name="BTR" localSheetId="29">'[26]WEO-BOP'!#REF!</definedName>
    <definedName name="BTR">'[26]WEO-BOP'!#REF!</definedName>
    <definedName name="BTRG" localSheetId="27">'[26]WEO-BOP'!#REF!</definedName>
    <definedName name="BTRG" localSheetId="28">'[26]WEO-BOP'!#REF!</definedName>
    <definedName name="BTRG" localSheetId="29">'[26]WEO-BOP'!#REF!</definedName>
    <definedName name="BTRG">'[26]WEO-BOP'!#REF!</definedName>
    <definedName name="BUDGET" localSheetId="27">#REF!</definedName>
    <definedName name="BUDGET" localSheetId="28">#REF!</definedName>
    <definedName name="BUDGET" localSheetId="29">#REF!</definedName>
    <definedName name="BUDGET">#REF!</definedName>
    <definedName name="Budget_expenditure" localSheetId="27">#REF!</definedName>
    <definedName name="Budget_expenditure" localSheetId="28">#REF!</definedName>
    <definedName name="Budget_expenditure" localSheetId="29">#REF!</definedName>
    <definedName name="Budget_expenditure">#REF!</definedName>
    <definedName name="Budget_revenue" localSheetId="27">#REF!</definedName>
    <definedName name="Budget_revenue" localSheetId="28">#REF!</definedName>
    <definedName name="Budget_revenue" localSheetId="29">#REF!</definedName>
    <definedName name="Budget_revenue">#REF!</definedName>
    <definedName name="BXG">[27]Q6!$E$26:$AH$26</definedName>
    <definedName name="BXS" localSheetId="27">'[26]WEO-BOP'!#REF!</definedName>
    <definedName name="BXS" localSheetId="28">'[26]WEO-BOP'!#REF!</definedName>
    <definedName name="BXS" localSheetId="29">'[26]WEO-BOP'!#REF!</definedName>
    <definedName name="BXS">'[26]WEO-BOP'!#REF!</definedName>
    <definedName name="BXTSAq" localSheetId="27">#REF!</definedName>
    <definedName name="BXTSAq" localSheetId="28">#REF!</definedName>
    <definedName name="BXTSAq" localSheetId="29">#REF!</definedName>
    <definedName name="BXTSAq">#REF!</definedName>
    <definedName name="CalcMCV_4" localSheetId="27">#REF!</definedName>
    <definedName name="CalcMCV_4" localSheetId="28">#REF!</definedName>
    <definedName name="CalcMCV_4" localSheetId="29">#REF!</definedName>
    <definedName name="CalcMCV_4">#REF!</definedName>
    <definedName name="calcNGS_NGDP">#N/A</definedName>
    <definedName name="CAPACCB" localSheetId="27">#REF!</definedName>
    <definedName name="CAPACCB" localSheetId="28">#REF!</definedName>
    <definedName name="CAPACCB" localSheetId="29">#REF!</definedName>
    <definedName name="CAPACCB">#REF!</definedName>
    <definedName name="cc" localSheetId="10" hidden="1">{"Riqfin97",#N/A,FALSE,"Tran";"Riqfinpro",#N/A,FALSE,"Tran"}</definedName>
    <definedName name="cc" localSheetId="14" hidden="1">{"Riqfin97",#N/A,FALSE,"Tran";"Riqfinpro",#N/A,FALSE,"Tran"}</definedName>
    <definedName name="cc" localSheetId="27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1" hidden="1">{"Riqfin97",#N/A,FALSE,"Tran";"Riqfinpro",#N/A,FALSE,"Tran"}</definedName>
    <definedName name="cc" localSheetId="15" hidden="1">{"Riqfin97",#N/A,FALSE,"Tran";"Riqfinpro",#N/A,FALSE,"Tran"}</definedName>
    <definedName name="cc" localSheetId="12" hidden="1">{"Riqfin97",#N/A,FALSE,"Tran";"Riqfinpro",#N/A,FALSE,"Tran"}</definedName>
    <definedName name="cc" hidden="1">{"Riqfin97",#N/A,FALSE,"Tran";"Riqfinpro",#N/A,FALSE,"Tran"}</definedName>
    <definedName name="ccc" localSheetId="10" hidden="1">{"Riqfin97",#N/A,FALSE,"Tran";"Riqfinpro",#N/A,FALSE,"Tran"}</definedName>
    <definedName name="ccc" localSheetId="14" hidden="1">{"Riqfin97",#N/A,FALSE,"Tran";"Riqfinpro",#N/A,FALSE,"Tran"}</definedName>
    <definedName name="ccc" localSheetId="27" hidden="1">{"Riqfin97",#N/A,FALSE,"Tran";"Riqfinpro",#N/A,FALSE,"Tran"}</definedName>
    <definedName name="ccc" localSheetId="28" hidden="1">{"Riqfin97",#N/A,FALSE,"Tran";"Riqfinpro",#N/A,FALSE,"Tran"}</definedName>
    <definedName name="ccc" localSheetId="29" hidden="1">{"Riqfin97",#N/A,FALSE,"Tran";"Riqfinpro",#N/A,FALSE,"Tran"}</definedName>
    <definedName name="ccc" localSheetId="1" hidden="1">{"Riqfin97",#N/A,FALSE,"Tran";"Riqfinpro",#N/A,FALSE,"Tran"}</definedName>
    <definedName name="ccc" localSheetId="15" hidden="1">{"Riqfin97",#N/A,FALSE,"Tran";"Riqfinpro",#N/A,FALSE,"Tran"}</definedName>
    <definedName name="ccc" localSheetId="12" hidden="1">{"Riqfin97",#N/A,FALSE,"Tran";"Riqfinpro",#N/A,FALSE,"Tran"}</definedName>
    <definedName name="ccc" hidden="1">{"Riqfin97",#N/A,FALSE,"Tran";"Riqfinpro",#N/A,FALSE,"Tran"}</definedName>
    <definedName name="CCODE" localSheetId="27">#REF!</definedName>
    <definedName name="CCODE" localSheetId="28">#REF!</definedName>
    <definedName name="CCODE" localSheetId="29">#REF!</definedName>
    <definedName name="CCODE">#REF!</definedName>
    <definedName name="cgb" localSheetId="27">#REF!</definedName>
    <definedName name="cgb" localSheetId="28">#REF!</definedName>
    <definedName name="cgb" localSheetId="29">#REF!</definedName>
    <definedName name="cgb">#REF!</definedName>
    <definedName name="cge" localSheetId="27">#REF!</definedName>
    <definedName name="cge" localSheetId="28">#REF!</definedName>
    <definedName name="cge" localSheetId="29">#REF!</definedName>
    <definedName name="cge">#REF!</definedName>
    <definedName name="cgr" localSheetId="27">#REF!</definedName>
    <definedName name="cgr">#REF!</definedName>
    <definedName name="CONCK">#REF!</definedName>
    <definedName name="Cons">#REF!</definedName>
    <definedName name="CORULCSA" localSheetId="27">[29]E!$V$15:$V$98</definedName>
    <definedName name="CORULCSA">[30]E!$V$15:$V$98</definedName>
    <definedName name="CountryCode">[31]readme!$B$2</definedName>
    <definedName name="CurrVintage">[32]Current!$D$66</definedName>
    <definedName name="d" localSheetId="27">"Graf 5"</definedName>
    <definedName name="d" localSheetId="28" hidden="1">{"Riqfin97",#N/A,FALSE,"Tran";"Riqfinpro",#N/A,FALSE,"Tran"}</definedName>
    <definedName name="d" localSheetId="29" hidden="1">{"Riqfin97",#N/A,FALSE,"Tran";"Riqfinpro",#N/A,FALSE,"Tran"}</definedName>
    <definedName name="d" localSheetId="15" hidden="1">{"Riqfin97",#N/A,FALSE,"Tran";"Riqfinpro",#N/A,FALSE,"Tran"}</definedName>
    <definedName name="d" localSheetId="12" hidden="1">{"Riqfin97",#N/A,FALSE,"Tran";"Riqfinpro",#N/A,FALSE,"Tran"}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27">'[33]daily calculations'!#REF!</definedName>
    <definedName name="daily_interest_rates">'[34]daily calculations'!#REF!</definedName>
    <definedName name="DAproj">#N/A</definedName>
    <definedName name="das" localSheetId="14" hidden="1">[8]G!#REF!</definedName>
    <definedName name="das" localSheetId="27" hidden="1">[8]G!#REF!</definedName>
    <definedName name="das" hidden="1">[8]G!#REF!</definedName>
    <definedName name="DASD">#N/A</definedName>
    <definedName name="DASDB">#N/A</definedName>
    <definedName name="DASDG">#N/A</definedName>
    <definedName name="data_area" localSheetId="27">#REF!</definedName>
    <definedName name="data_area" localSheetId="28">#REF!</definedName>
    <definedName name="data_area" localSheetId="29">#REF!</definedName>
    <definedName name="data_area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>#REF!</definedName>
    <definedName name="DATB" localSheetId="27">[6]REER!$B$144:$B$240</definedName>
    <definedName name="DATB">[21]REER!$B$144:$B$240</definedName>
    <definedName name="datcr" localSheetId="27">'[2]Tab ann curr'!#REF!</definedName>
    <definedName name="datcr" localSheetId="28">'[2]Tab ann curr'!#REF!</definedName>
    <definedName name="datcr" localSheetId="29">'[2]Tab ann curr'!#REF!</definedName>
    <definedName name="datcr">'[2]Tab ann curr'!#REF!</definedName>
    <definedName name="date" localSheetId="27">#REF!</definedName>
    <definedName name="date" localSheetId="28">#REF!</definedName>
    <definedName name="date" localSheetId="29">#REF!</definedName>
    <definedName name="date">#REF!</definedName>
    <definedName name="date_EXP">[35]Sheet1!$B$1:$G$1</definedName>
    <definedName name="date_FISC" localSheetId="27">#REF!</definedName>
    <definedName name="date_FISC" localSheetId="28">#REF!</definedName>
    <definedName name="date_FISC" localSheetId="29">#REF!</definedName>
    <definedName name="date_FISC">#REF!</definedName>
    <definedName name="dateIntLiq" localSheetId="27">#REF!</definedName>
    <definedName name="dateIntLiq" localSheetId="28">#REF!</definedName>
    <definedName name="dateIntLiq" localSheetId="29">#REF!</definedName>
    <definedName name="dateIntLiq">#REF!</definedName>
    <definedName name="dateMoney" localSheetId="27">#REF!</definedName>
    <definedName name="dateMoney" localSheetId="28">#REF!</definedName>
    <definedName name="dateMoney" localSheetId="29">#REF!</definedName>
    <definedName name="dateMoney">#REF!</definedName>
    <definedName name="dateprofit" localSheetId="27">[6]C!$A$9:$A$125</definedName>
    <definedName name="dateprofit">[21]C!$A$9:$A$125</definedName>
    <definedName name="dateRates" localSheetId="27">#REF!</definedName>
    <definedName name="dateRates" localSheetId="28">#REF!</definedName>
    <definedName name="dateRates" localSheetId="29">#REF!</definedName>
    <definedName name="dateRates">#REF!</definedName>
    <definedName name="dateRawQ" localSheetId="27">'[36]Raw Data'!#REF!</definedName>
    <definedName name="dateRawQ">'[36]Raw Data'!#REF!</definedName>
    <definedName name="dateReal" localSheetId="27">#REF!</definedName>
    <definedName name="dateReal" localSheetId="28">#REF!</definedName>
    <definedName name="dateReal" localSheetId="29">#REF!</definedName>
    <definedName name="dateReal">#REF!</definedName>
    <definedName name="dates" localSheetId="27">#REF!</definedName>
    <definedName name="dates" localSheetId="28">#REF!</definedName>
    <definedName name="dates" localSheetId="29">#REF!</definedName>
    <definedName name="dates">#REF!</definedName>
    <definedName name="dates_w" localSheetId="27">#REF!</definedName>
    <definedName name="dates_w" localSheetId="28">#REF!</definedName>
    <definedName name="dates_w" localSheetId="29">#REF!</definedName>
    <definedName name="dates_w">#REF!</definedName>
    <definedName name="dates1">#REF!</definedName>
    <definedName name="dates2">#REF!</definedName>
    <definedName name="datesb" localSheetId="27">[29]B!$B$20:$B$134</definedName>
    <definedName name="datesb">[30]B!$B$20:$B$134</definedName>
    <definedName name="datesc" localSheetId="27">#REF!</definedName>
    <definedName name="datesc" localSheetId="28">#REF!</definedName>
    <definedName name="datesc" localSheetId="29">#REF!</definedName>
    <definedName name="datesc">#REF!</definedName>
    <definedName name="datesd" localSheetId="27">#REF!</definedName>
    <definedName name="datesd" localSheetId="28">#REF!</definedName>
    <definedName name="datesd" localSheetId="29">#REF!</definedName>
    <definedName name="datesd">#REF!</definedName>
    <definedName name="DATESG" localSheetId="27">#REF!</definedName>
    <definedName name="DATESG" localSheetId="28">#REF!</definedName>
    <definedName name="DATESG" localSheetId="29">#REF!</definedName>
    <definedName name="DATESG">#REF!</definedName>
    <definedName name="datesm">#REF!</definedName>
    <definedName name="datesq" localSheetId="27">#REF!</definedName>
    <definedName name="datesq">#REF!</definedName>
    <definedName name="datesr">#REF!</definedName>
    <definedName name="datestran" localSheetId="27">[29]transfer!$A$9:$A$116</definedName>
    <definedName name="datestran">[30]transfer!$A$9:$A$116</definedName>
    <definedName name="datgdp" localSheetId="27">#REF!</definedName>
    <definedName name="datgdp" localSheetId="28">#REF!</definedName>
    <definedName name="datgdp" localSheetId="29">#REF!</definedName>
    <definedName name="datgdp">#REF!</definedName>
    <definedName name="datin1" localSheetId="27">[6]REER!$B$9:$B$119</definedName>
    <definedName name="datin1">[21]REER!$B$9:$B$119</definedName>
    <definedName name="datin2" localSheetId="27">[6]REER!$B$144:$B$253</definedName>
    <definedName name="datin2">[21]REER!$B$144:$B$253</definedName>
    <definedName name="datq" localSheetId="27">#REF!</definedName>
    <definedName name="datq" localSheetId="28">#REF!</definedName>
    <definedName name="datq" localSheetId="29">#REF!</definedName>
    <definedName name="datq">#REF!</definedName>
    <definedName name="datq1" localSheetId="27">#REF!</definedName>
    <definedName name="datq1" localSheetId="28">#REF!</definedName>
    <definedName name="datq1" localSheetId="29">#REF!</definedName>
    <definedName name="datq1">#REF!</definedName>
    <definedName name="datq2" localSheetId="27">#REF!</definedName>
    <definedName name="datq2" localSheetId="28">#REF!</definedName>
    <definedName name="datq2" localSheetId="29">#REF!</definedName>
    <definedName name="datq2">#REF!</definedName>
    <definedName name="datreer" localSheetId="27">[6]REER!$B$144:$B$258</definedName>
    <definedName name="datreer">[21]REER!$B$144:$B$258</definedName>
    <definedName name="datt" localSheetId="27">#REF!</definedName>
    <definedName name="datt" localSheetId="28">#REF!</definedName>
    <definedName name="datt" localSheetId="29">#REF!</definedName>
    <definedName name="datt">#REF!</definedName>
    <definedName name="DBproj">#N/A</definedName>
    <definedName name="dd" localSheetId="10" hidden="1">{"Riqfin97",#N/A,FALSE,"Tran";"Riqfinpro",#N/A,FALSE,"Tran"}</definedName>
    <definedName name="dd" localSheetId="14" hidden="1">{"Riqfin97",#N/A,FALSE,"Tran";"Riqfinpro",#N/A,FALSE,"Tran"}</definedName>
    <definedName name="dd" localSheetId="27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1" hidden="1">{"Riqfin97",#N/A,FALSE,"Tran";"Riqfinpro",#N/A,FALSE,"Tran"}</definedName>
    <definedName name="dd" localSheetId="15" hidden="1">{"Riqfin97",#N/A,FALSE,"Tran";"Riqfinpro",#N/A,FALSE,"Tran"}</definedName>
    <definedName name="dd" localSheetId="12" hidden="1">{"Riqfin97",#N/A,FALSE,"Tran";"Riqfinpro",#N/A,FALSE,"Tran"}</definedName>
    <definedName name="dd" hidden="1">{"Riqfin97",#N/A,FALSE,"Tran";"Riqfinpro",#N/A,FALSE,"Tran"}</definedName>
    <definedName name="dd_balance" localSheetId="27">[37]!dd_balance1[saldo]</definedName>
    <definedName name="dd_balance" localSheetId="28">[37]!dd_balance1[saldo]</definedName>
    <definedName name="dd_balance" localSheetId="29">[37]!dd_balance1[saldo]</definedName>
    <definedName name="dd_balance">[37]!dd_balance1[saldo]</definedName>
    <definedName name="dd_cyklus" localSheetId="27">[38]!dd_cyclus[cyklus]</definedName>
    <definedName name="dd_cyklus" localSheetId="28">[38]!dd_cyclus[cyklus]</definedName>
    <definedName name="dd_cyklus" localSheetId="29">[38]!dd_cyclus[cyklus]</definedName>
    <definedName name="dd_cyklus">[38]!dd_cyclus[cyklus]</definedName>
    <definedName name="dd_oneoff" localSheetId="27">[38]hidden!$B$2:$B$3</definedName>
    <definedName name="dd_oneoff" localSheetId="28">[38]hidden!$B$2:$B$3</definedName>
    <definedName name="dd_oneoff" localSheetId="29">[38]hidden!$B$2:$B$3</definedName>
    <definedName name="dd_oneoff">[38]hidden!$B$2:$B$3</definedName>
    <definedName name="ddd" localSheetId="10" hidden="1">{"Riqfin97",#N/A,FALSE,"Tran";"Riqfinpro",#N/A,FALSE,"Tran"}</definedName>
    <definedName name="ddd" localSheetId="14" hidden="1">{"Riqfin97",#N/A,FALSE,"Tran";"Riqfinpro",#N/A,FALSE,"Tran"}</definedName>
    <definedName name="ddd" localSheetId="27" hidden="1">{"Riqfin97",#N/A,FALSE,"Tran";"Riqfinpro",#N/A,FALSE,"Tran"}</definedName>
    <definedName name="ddd" localSheetId="28" hidden="1">{"Riqfin97",#N/A,FALSE,"Tran";"Riqfinpro",#N/A,FALSE,"Tran"}</definedName>
    <definedName name="ddd" localSheetId="29" hidden="1">{"Riqfin97",#N/A,FALSE,"Tran";"Riqfinpro",#N/A,FALSE,"Tran"}</definedName>
    <definedName name="ddd" localSheetId="1" hidden="1">{"Riqfin97",#N/A,FALSE,"Tran";"Riqfinpro",#N/A,FALSE,"Tran"}</definedName>
    <definedName name="ddd" localSheetId="15" hidden="1">{"Riqfin97",#N/A,FALSE,"Tran";"Riqfinpro",#N/A,FALSE,"Tran"}</definedName>
    <definedName name="ddd" localSheetId="12" hidden="1">{"Riqfin97",#N/A,FALSE,"Tran";"Riqfinpro",#N/A,FALSE,"Tran"}</definedName>
    <definedName name="ddd" hidden="1">{"Riqfin97",#N/A,FALSE,"Tran";"Riqfinpro",#N/A,FALSE,"Tran"}</definedName>
    <definedName name="debt" localSheetId="27">#REF!</definedName>
    <definedName name="debt" localSheetId="28">#REF!</definedName>
    <definedName name="debt" localSheetId="29">#REF!</definedName>
    <definedName name="debt">#REF!</definedName>
    <definedName name="DEBT1" localSheetId="27">#REF!</definedName>
    <definedName name="DEBT1" localSheetId="28">#REF!</definedName>
    <definedName name="DEBT1" localSheetId="29">#REF!</definedName>
    <definedName name="DEBT1">#REF!</definedName>
    <definedName name="DEBT10" localSheetId="27">#REF!</definedName>
    <definedName name="DEBT10" localSheetId="28">#REF!</definedName>
    <definedName name="DEBT10" localSheetId="29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[28]Graf14_Graf15!#REF!</definedName>
    <definedName name="degresivita_2">[28]Graf14_Graf15!#REF!</definedName>
    <definedName name="deleteme1" localSheetId="27" hidden="1">#REF!</definedName>
    <definedName name="deleteme1" localSheetId="28" hidden="1">#REF!</definedName>
    <definedName name="deleteme1" localSheetId="29" hidden="1">#REF!</definedName>
    <definedName name="deleteme1" hidden="1">#REF!</definedName>
    <definedName name="deleteme3" localSheetId="27" hidden="1">#REF!</definedName>
    <definedName name="deleteme3" localSheetId="28" hidden="1">#REF!</definedName>
    <definedName name="deleteme3" localSheetId="29" hidden="1">#REF!</definedName>
    <definedName name="deleteme3" hidden="1">#REF!</definedName>
    <definedName name="Department" localSheetId="27">[39]REER!#REF!</definedName>
    <definedName name="Department" localSheetId="28">[40]REER!#REF!</definedName>
    <definedName name="Department" localSheetId="29">[40]REER!#REF!</definedName>
    <definedName name="Department">[40]REER!#REF!</definedName>
    <definedName name="DGproj">#N/A</definedName>
    <definedName name="DLX1.USE" localSheetId="27">[41]Haver!$A$2:$N$8</definedName>
    <definedName name="DLX1.USE">[42]Haver!$A$2:$N$8</definedName>
    <definedName name="DOC" localSheetId="27">#REF!</definedName>
    <definedName name="DOC" localSheetId="28">#REF!</definedName>
    <definedName name="DOC" localSheetId="29">#REF!</definedName>
    <definedName name="DOC">#REF!</definedName>
    <definedName name="dp">[43]DP!$A$1:$E$65536</definedName>
    <definedName name="Dproj">#N/A</definedName>
    <definedName name="dre" localSheetId="27" hidden="1">[44]M!#REF!</definedName>
    <definedName name="dre" localSheetId="28" hidden="1">[44]M!#REF!</definedName>
    <definedName name="dre" localSheetId="29" hidden="1">[44]M!#REF!</definedName>
    <definedName name="dre" localSheetId="15" hidden="1">[44]M!#REF!</definedName>
    <definedName name="dre" localSheetId="12" hidden="1">[44]M!#REF!</definedName>
    <definedName name="dre" hidden="1">[44]M!#REF!</definedName>
    <definedName name="DSD">#N/A</definedName>
    <definedName name="DSD_S">#N/A</definedName>
    <definedName name="DSDB">#N/A</definedName>
    <definedName name="DSDG">#N/A</definedName>
    <definedName name="dsfsdds" localSheetId="27" hidden="1">{"Riqfin97",#N/A,FALSE,"Tran";"Riqfinpro",#N/A,FALSE,"Tran"}</definedName>
    <definedName name="dsfsdds" localSheetId="28" hidden="1">{"Riqfin97",#N/A,FALSE,"Tran";"Riqfinpro",#N/A,FALSE,"Tran"}</definedName>
    <definedName name="dsfsdds" localSheetId="29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27">#REF!</definedName>
    <definedName name="e12db" localSheetId="28">#REF!</definedName>
    <definedName name="e12db" localSheetId="29">#REF!</definedName>
    <definedName name="e12db">#REF!</definedName>
    <definedName name="e9db">[45]e9!$A$1:$V$49</definedName>
    <definedName name="EDNA">#N/A</definedName>
    <definedName name="EDSSDESCRIPTOR" localSheetId="27">#REF!</definedName>
    <definedName name="EDSSDESCRIPTOR" localSheetId="28">#REF!</definedName>
    <definedName name="EDSSDESCRIPTOR" localSheetId="29">#REF!</definedName>
    <definedName name="EDSSDESCRIPTOR">#REF!</definedName>
    <definedName name="EDSSFILE" localSheetId="27">#REF!</definedName>
    <definedName name="EDSSFILE" localSheetId="28">#REF!</definedName>
    <definedName name="EDSSFILE" localSheetId="29">#REF!</definedName>
    <definedName name="EDSSFILE">#REF!</definedName>
    <definedName name="EDSSNAME" localSheetId="27">#REF!</definedName>
    <definedName name="EDSSNAME" localSheetId="28">#REF!</definedName>
    <definedName name="EDSSNAME" localSheetId="29">#REF!</definedName>
    <definedName name="EDSSNAME">#REF!</definedName>
    <definedName name="EDSSTIME">#REF!</definedName>
    <definedName name="ee" localSheetId="10" hidden="1">{"Tab1",#N/A,FALSE,"P";"Tab2",#N/A,FALSE,"P"}</definedName>
    <definedName name="ee" localSheetId="14" hidden="1">{"Tab1",#N/A,FALSE,"P";"Tab2",#N/A,FALSE,"P"}</definedName>
    <definedName name="ee" localSheetId="27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1" hidden="1">{"Tab1",#N/A,FALSE,"P";"Tab2",#N/A,FALSE,"P"}</definedName>
    <definedName name="ee" localSheetId="15" hidden="1">{"Tab1",#N/A,FALSE,"P";"Tab2",#N/A,FALSE,"P"}</definedName>
    <definedName name="ee" localSheetId="12" hidden="1">{"Tab1",#N/A,FALSE,"P";"Tab2",#N/A,FALSE,"P"}</definedName>
    <definedName name="ee" hidden="1">{"Tab1",#N/A,FALSE,"P";"Tab2",#N/A,FALSE,"P"}</definedName>
    <definedName name="EECB" localSheetId="27">#REF!</definedName>
    <definedName name="EECB" localSheetId="28">#REF!</definedName>
    <definedName name="EECB" localSheetId="29">#REF!</definedName>
    <definedName name="EECB">#REF!</definedName>
    <definedName name="eedx" localSheetId="27" hidden="1">{"Tab1",#N/A,FALSE,"P";"Tab2",#N/A,FALSE,"P"}</definedName>
    <definedName name="eedx" localSheetId="28" hidden="1">{"Tab1",#N/A,FALSE,"P";"Tab2",#N/A,FALSE,"P"}</definedName>
    <definedName name="eedx" localSheetId="29" hidden="1">{"Tab1",#N/A,FALSE,"P";"Tab2",#N/A,FALSE,"P"}</definedName>
    <definedName name="eedx" hidden="1">{"Tab1",#N/A,FALSE,"P";"Tab2",#N/A,FALSE,"P"}</definedName>
    <definedName name="eee" localSheetId="10" hidden="1">{"Tab1",#N/A,FALSE,"P";"Tab2",#N/A,FALSE,"P"}</definedName>
    <definedName name="eee" localSheetId="14" hidden="1">{"Tab1",#N/A,FALSE,"P";"Tab2",#N/A,FALSE,"P"}</definedName>
    <definedName name="eee" localSheetId="27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1" hidden="1">{"Tab1",#N/A,FALSE,"P";"Tab2",#N/A,FALSE,"P"}</definedName>
    <definedName name="eee" localSheetId="15" hidden="1">{"Tab1",#N/A,FALSE,"P";"Tab2",#N/A,FALSE,"P"}</definedName>
    <definedName name="eee" localSheetId="12" hidden="1">{"Tab1",#N/A,FALSE,"P";"Tab2",#N/A,FALSE,"P"}</definedName>
    <definedName name="eee" hidden="1">{"Tab1",#N/A,FALSE,"P";"Tab2",#N/A,FALSE,"P"}</definedName>
    <definedName name="EISCODE" localSheetId="27">#REF!</definedName>
    <definedName name="EISCODE" localSheetId="28">#REF!</definedName>
    <definedName name="EISCODE" localSheetId="29">#REF!</definedName>
    <definedName name="EISCODE">#REF!</definedName>
    <definedName name="elect" localSheetId="27">#REF!</definedName>
    <definedName name="elect" localSheetId="28">#REF!</definedName>
    <definedName name="elect" localSheetId="29">#REF!</definedName>
    <definedName name="elect">#REF!</definedName>
    <definedName name="Emerging_HTML_AREA" localSheetId="27">#REF!</definedName>
    <definedName name="Emerging_HTML_AREA" localSheetId="28">#REF!</definedName>
    <definedName name="Emerging_HTML_AREA" localSheetId="29">#REF!</definedName>
    <definedName name="Emerging_HTML_AREA">#REF!</definedName>
    <definedName name="EMETEL">#REF!</definedName>
    <definedName name="ENDA">#N/A</definedName>
    <definedName name="equal_TLC">[28]Graf14_Graf15!#REF!</definedName>
    <definedName name="ExitWRS">[46]Main!$AB$25</definedName>
    <definedName name="fdfs" localSheetId="27" hidden="1">{"Riqfin97",#N/A,FALSE,"Tran";"Riqfinpro",#N/A,FALSE,"Tran"}</definedName>
    <definedName name="fdfs" localSheetId="28" hidden="1">{"Riqfin97",#N/A,FALSE,"Tran";"Riqfinpro",#N/A,FALSE,"Tran"}</definedName>
    <definedName name="fdfs" localSheetId="29" hidden="1">{"Riqfin97",#N/A,FALSE,"Tran";"Riqfinpro",#N/A,FALSE,"Tran"}</definedName>
    <definedName name="fdfs" localSheetId="1" hidden="1">{"Riqfin97",#N/A,FALSE,"Tran";"Riqfinpro",#N/A,FALSE,"Tran"}</definedName>
    <definedName name="fdfs" localSheetId="15" hidden="1">{"Riqfin97",#N/A,FALSE,"Tran";"Riqfinpro",#N/A,FALSE,"Tran"}</definedName>
    <definedName name="fdfs" localSheetId="12" hidden="1">{"Riqfin97",#N/A,FALSE,"Tran";"Riqfinpro",#N/A,FALSE,"Tran"}</definedName>
    <definedName name="fdfs" hidden="1">{"Riqfin97",#N/A,FALSE,"Tran";"Riqfinpro",#N/A,FALSE,"Tran"}</definedName>
    <definedName name="ff" localSheetId="10" hidden="1">{"Tab1",#N/A,FALSE,"P";"Tab2",#N/A,FALSE,"P"}</definedName>
    <definedName name="ff" localSheetId="14" hidden="1">{"Tab1",#N/A,FALSE,"P";"Tab2",#N/A,FALSE,"P"}</definedName>
    <definedName name="ff" localSheetId="27" hidden="1">{"Tab1",#N/A,FALSE,"P";"Tab2",#N/A,FALSE,"P"}</definedName>
    <definedName name="ff" localSheetId="28" hidden="1">{"Tab1",#N/A,FALSE,"P";"Tab2",#N/A,FALSE,"P"}</definedName>
    <definedName name="ff" localSheetId="29" hidden="1">{"Tab1",#N/A,FALSE,"P";"Tab2",#N/A,FALSE,"P"}</definedName>
    <definedName name="ff" localSheetId="1" hidden="1">{"Tab1",#N/A,FALSE,"P";"Tab2",#N/A,FALSE,"P"}</definedName>
    <definedName name="ff" localSheetId="15" hidden="1">{"Tab1",#N/A,FALSE,"P";"Tab2",#N/A,FALSE,"P"}</definedName>
    <definedName name="ff" localSheetId="12" hidden="1">{"Tab1",#N/A,FALSE,"P";"Tab2",#N/A,FALSE,"P"}</definedName>
    <definedName name="ff" hidden="1">{"Tab1",#N/A,FALSE,"P";"Tab2",#N/A,FALSE,"P"}</definedName>
    <definedName name="fff" localSheetId="10" hidden="1">{"Tab1",#N/A,FALSE,"P";"Tab2",#N/A,FALSE,"P"}</definedName>
    <definedName name="fff" localSheetId="14" hidden="1">{"Tab1",#N/A,FALSE,"P";"Tab2",#N/A,FALSE,"P"}</definedName>
    <definedName name="fff" localSheetId="27" hidden="1">{"Tab1",#N/A,FALSE,"P";"Tab2",#N/A,FALSE,"P"}</definedName>
    <definedName name="fff" localSheetId="28" hidden="1">{"Tab1",#N/A,FALSE,"P";"Tab2",#N/A,FALSE,"P"}</definedName>
    <definedName name="fff" localSheetId="29" hidden="1">{"Tab1",#N/A,FALSE,"P";"Tab2",#N/A,FALSE,"P"}</definedName>
    <definedName name="fff" localSheetId="1" hidden="1">{"Tab1",#N/A,FALSE,"P";"Tab2",#N/A,FALSE,"P"}</definedName>
    <definedName name="fff" localSheetId="15" hidden="1">{"Tab1",#N/A,FALSE,"P";"Tab2",#N/A,FALSE,"P"}</definedName>
    <definedName name="fff" localSheetId="12" hidden="1">{"Tab1",#N/A,FALSE,"P";"Tab2",#N/A,FALSE,"P"}</definedName>
    <definedName name="fff" hidden="1">{"Tab1",#N/A,FALSE,"P";"Tab2",#N/A,FALSE,"P"}</definedName>
    <definedName name="Fig8.2a" localSheetId="27">#REF!</definedName>
    <definedName name="Fig8.2a" localSheetId="28">#REF!</definedName>
    <definedName name="Fig8.2a" localSheetId="29">#REF!</definedName>
    <definedName name="Fig8.2a">#REF!</definedName>
    <definedName name="fill" hidden="1">'[47]Macroframework-Ver.1'!$A$1:$A$267</definedName>
    <definedName name="finan" localSheetId="27">#REF!</definedName>
    <definedName name="finan" localSheetId="28">#REF!</definedName>
    <definedName name="finan" localSheetId="29">#REF!</definedName>
    <definedName name="finan">#REF!</definedName>
    <definedName name="finan1" localSheetId="27">#REF!</definedName>
    <definedName name="finan1" localSheetId="28">#REF!</definedName>
    <definedName name="finan1" localSheetId="29">#REF!</definedName>
    <definedName name="finan1">#REF!</definedName>
    <definedName name="Financing" localSheetId="10" hidden="1">{"Tab1",#N/A,FALSE,"P";"Tab2",#N/A,FALSE,"P"}</definedName>
    <definedName name="Financing" localSheetId="14" hidden="1">{"Tab1",#N/A,FALSE,"P";"Tab2",#N/A,FALSE,"P"}</definedName>
    <definedName name="Financing" localSheetId="27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1" hidden="1">{"Tab1",#N/A,FALSE,"P";"Tab2",#N/A,FALSE,"P"}</definedName>
    <definedName name="Financing" localSheetId="15" hidden="1">{"Tab1",#N/A,FALSE,"P";"Tab2",#N/A,FALSE,"P"}</definedName>
    <definedName name="Financing" localSheetId="12" hidden="1">{"Tab1",#N/A,FALSE,"P";"Tab2",#N/A,FALSE,"P"}</definedName>
    <definedName name="Financing" hidden="1">{"Tab1",#N/A,FALSE,"P";"Tab2",#N/A,FALSE,"P"}</definedName>
    <definedName name="FISUM" localSheetId="27">#REF!</definedName>
    <definedName name="FISUM" localSheetId="28">#REF!</definedName>
    <definedName name="FISUM" localSheetId="29">#REF!</definedName>
    <definedName name="FISUM">#REF!</definedName>
    <definedName name="FLOPEC" localSheetId="27">#REF!</definedName>
    <definedName name="FLOPEC" localSheetId="28">#REF!</definedName>
    <definedName name="FLOPEC" localSheetId="29">#REF!</definedName>
    <definedName name="FLOPEC">#REF!</definedName>
    <definedName name="FMB" localSheetId="27">#REF!</definedName>
    <definedName name="FMB" localSheetId="28">#REF!</definedName>
    <definedName name="FMB" localSheetId="29">#REF!</definedName>
    <definedName name="FMB">#REF!</definedName>
    <definedName name="FODESEC">#REF!</definedName>
    <definedName name="FOREXPORT" localSheetId="27">[6]H!$A$2:$F$86</definedName>
    <definedName name="FOREXPORT">[21]H!$A$2:$F$86</definedName>
    <definedName name="fsd" localSheetId="14" hidden="1">#REF!</definedName>
    <definedName name="fsd" localSheetId="27" hidden="1">#REF!</definedName>
    <definedName name="fsd" localSheetId="28" hidden="1">#REF!</definedName>
    <definedName name="fsd" localSheetId="29" hidden="1">#REF!</definedName>
    <definedName name="fsd" hidden="1">#REF!</definedName>
    <definedName name="fsdfsdfasdfasdfasd" localSheetId="14" hidden="1">#REF!</definedName>
    <definedName name="fsdfsdfasdfasdfasd" localSheetId="27" hidden="1">#REF!</definedName>
    <definedName name="fsdfsdfasdfasdfasd" hidden="1">#REF!</definedName>
    <definedName name="FUNDOBL" localSheetId="27">#REF!</definedName>
    <definedName name="FUNDOBL">#REF!</definedName>
    <definedName name="FUNDOBLB">#REF!</definedName>
    <definedName name="g">#REF!</definedName>
    <definedName name="GCB" localSheetId="27">#REF!</definedName>
    <definedName name="GCB">#REF!</definedName>
    <definedName name="GCB_NGDP">#N/A</definedName>
    <definedName name="GCEI" localSheetId="27">#REF!</definedName>
    <definedName name="GCEI" localSheetId="28">#REF!</definedName>
    <definedName name="GCEI" localSheetId="29">#REF!</definedName>
    <definedName name="GCEI">#REF!</definedName>
    <definedName name="GCENL" localSheetId="27">#REF!</definedName>
    <definedName name="GCENL" localSheetId="28">#REF!</definedName>
    <definedName name="GCENL" localSheetId="29">#REF!</definedName>
    <definedName name="GCENL">#REF!</definedName>
    <definedName name="GCND" localSheetId="27">#REF!</definedName>
    <definedName name="GCND" localSheetId="28">#REF!</definedName>
    <definedName name="GCND" localSheetId="29">#REF!</definedName>
    <definedName name="GCND">#REF!</definedName>
    <definedName name="GCND_NGDP" localSheetId="27">#REF!</definedName>
    <definedName name="GCND_NGDP">#REF!</definedName>
    <definedName name="GCRG" localSheetId="27">#REF!</definedName>
    <definedName name="GCRG">#REF!</definedName>
    <definedName name="ggb" localSheetId="27">'[48]budget-G'!$A$1:$W$109</definedName>
    <definedName name="ggb">'[49]budget-G'!$A$1:$W$109</definedName>
    <definedName name="GGB_NGDP">#N/A</definedName>
    <definedName name="ggbeu" localSheetId="27">#REF!</definedName>
    <definedName name="ggbeu" localSheetId="28">#REF!</definedName>
    <definedName name="ggbeu" localSheetId="29">#REF!</definedName>
    <definedName name="ggbeu">#REF!</definedName>
    <definedName name="ggblg" localSheetId="27">#REF!</definedName>
    <definedName name="ggblg" localSheetId="28">#REF!</definedName>
    <definedName name="ggblg" localSheetId="29">#REF!</definedName>
    <definedName name="ggblg">#REF!</definedName>
    <definedName name="ggbls" localSheetId="27">#REF!</definedName>
    <definedName name="ggbls" localSheetId="28">#REF!</definedName>
    <definedName name="ggbls" localSheetId="29">#REF!</definedName>
    <definedName name="ggbls">#REF!</definedName>
    <definedName name="ggbss" localSheetId="27">#REF!</definedName>
    <definedName name="ggbss">#REF!</definedName>
    <definedName name="gge" localSheetId="27">[48]Expenditures!$A$1:$AC$62</definedName>
    <definedName name="gge">[49]Expenditures!$A$1:$AC$62</definedName>
    <definedName name="GGED" localSheetId="27">#REF!</definedName>
    <definedName name="GGED" localSheetId="28">#REF!</definedName>
    <definedName name="GGED" localSheetId="29">#REF!</definedName>
    <definedName name="GGED">#REF!</definedName>
    <definedName name="GGEI" localSheetId="27">#REF!</definedName>
    <definedName name="GGEI" localSheetId="28">#REF!</definedName>
    <definedName name="GGEI" localSheetId="29">#REF!</definedName>
    <definedName name="GGEI">#REF!</definedName>
    <definedName name="GGENL" localSheetId="27">#REF!</definedName>
    <definedName name="GGENL" localSheetId="28">#REF!</definedName>
    <definedName name="GGENL" localSheetId="29">#REF!</definedName>
    <definedName name="GGENL">#REF!</definedName>
    <definedName name="ggg" localSheetId="10" hidden="1">{"Riqfin97",#N/A,FALSE,"Tran";"Riqfinpro",#N/A,FALSE,"Tran"}</definedName>
    <definedName name="ggg" localSheetId="14" hidden="1">{"Riqfin97",#N/A,FALSE,"Tran";"Riqfinpro",#N/A,FALSE,"Tran"}</definedName>
    <definedName name="ggg" localSheetId="27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1" hidden="1">{"Riqfin97",#N/A,FALSE,"Tran";"Riqfinpro",#N/A,FALSE,"Tran"}</definedName>
    <definedName name="ggg" localSheetId="15" hidden="1">{"Riqfin97",#N/A,FALSE,"Tran";"Riqfinpro",#N/A,FALSE,"Tran"}</definedName>
    <definedName name="ggg" localSheetId="12" hidden="1">{"Riqfin97",#N/A,FALSE,"Tran";"Riqfinpro",#N/A,FALSE,"Tran"}</definedName>
    <definedName name="ggg" hidden="1">{"Riqfin97",#N/A,FALSE,"Tran";"Riqfinpro",#N/A,FALSE,"Tran"}</definedName>
    <definedName name="ggggg" localSheetId="14" hidden="1">'[50]J(Priv.Cap)'!#REF!</definedName>
    <definedName name="ggggg" localSheetId="27" hidden="1">'[50]J(Priv.Cap)'!#REF!</definedName>
    <definedName name="ggggg" hidden="1">'[50]J(Priv.Cap)'!#REF!</definedName>
    <definedName name="ggggggg" localSheetId="27">'Graf 29 + 30'!ggggggg</definedName>
    <definedName name="ggggggg">[22]!ggggggg</definedName>
    <definedName name="GGND" localSheetId="27">#REF!</definedName>
    <definedName name="GGND" localSheetId="28">#REF!</definedName>
    <definedName name="GGND" localSheetId="29">#REF!</definedName>
    <definedName name="GGND">#REF!</definedName>
    <definedName name="ggr" localSheetId="27">[48]Revenues!$A$1:$AD$58</definedName>
    <definedName name="ggr">[49]Revenues!$A$1:$AD$58</definedName>
    <definedName name="GGRG" localSheetId="27">#REF!</definedName>
    <definedName name="GGRG" localSheetId="28">#REF!</definedName>
    <definedName name="GGRG" localSheetId="29">#REF!</definedName>
    <definedName name="GGRG">#REF!</definedName>
    <definedName name="GPee_2" localSheetId="27">[28]Graf14_Graf15!#REF!</definedName>
    <definedName name="GPee_2" localSheetId="28">[28]Graf14_Graf15!#REF!</definedName>
    <definedName name="GPee_2" localSheetId="29">[28]Graf14_Graf15!#REF!</definedName>
    <definedName name="GPee_2">[28]Graf14_Graf15!#REF!</definedName>
    <definedName name="GPer_2" localSheetId="27">[28]Graf14_Graf15!#REF!</definedName>
    <definedName name="GPer_2" localSheetId="28">[28]Graf14_Graf15!#REF!</definedName>
    <definedName name="GPer_2" localSheetId="29">[28]Graf14_Graf15!#REF!</definedName>
    <definedName name="GPer_2">[28]Graf14_Graf15!#REF!</definedName>
    <definedName name="GRAF22" localSheetId="19">'Graf 22'!$G$12</definedName>
    <definedName name="HDPn_2">[51]makro!$C$5</definedName>
    <definedName name="HDPn_2n">[51]makro!$C$27</definedName>
    <definedName name="HDPn_3">[51]makro!$D$5</definedName>
    <definedName name="HDPn_3n">[51]makro!$D$27</definedName>
    <definedName name="HDPn_4">[51]makro!$E$5</definedName>
    <definedName name="HDPn_4n">[51]makro!$E$27</definedName>
    <definedName name="HDPn_5">[51]makro!$F$5</definedName>
    <definedName name="HDPn_5n">[51]makro!$F$27</definedName>
    <definedName name="HDPn_6">[51]makro!$G$5</definedName>
    <definedName name="HDPn_6n">[51]makro!$G$27</definedName>
    <definedName name="HDPnbk_2">[51]makro!$C$16</definedName>
    <definedName name="HDPnbk_2n">[51]makro!$C$38</definedName>
    <definedName name="HDPnbk_3">[51]makro!$D$16</definedName>
    <definedName name="HDPnbk_3n">[51]makro!$D$38</definedName>
    <definedName name="HDPnbk_4">[51]makro!$E$16</definedName>
    <definedName name="HDPnbk_4n">[51]makro!$E$38</definedName>
    <definedName name="HDPnbk_5">[51]makro!$F$16</definedName>
    <definedName name="HDPnbk_5n">[51]makro!$F$38</definedName>
    <definedName name="HDPnbk_6">[51]makro!$G$16</definedName>
    <definedName name="HDPnbk_6n">[51]makro!$G$38</definedName>
    <definedName name="HDPr_2">[51]makro!$C$4</definedName>
    <definedName name="HDPr_2n">[51]makro!$C$26</definedName>
    <definedName name="HDPr_3">[51]makro!$D$4</definedName>
    <definedName name="HDPr_3n">[51]makro!$D$26</definedName>
    <definedName name="HDPr_4">[51]makro!$E$4</definedName>
    <definedName name="HDPr_4n">[51]makro!$E$26</definedName>
    <definedName name="HDPr_5">[51]makro!$F$4</definedName>
    <definedName name="HDPr_5n">[51]makro!$F$26</definedName>
    <definedName name="HDPr_6">[51]makro!$G$4</definedName>
    <definedName name="HDPr_6n">[51]makro!$G$26</definedName>
    <definedName name="hgfd" localSheetId="27" hidden="1">{#N/A,#N/A,FALSE,"I";#N/A,#N/A,FALSE,"J";#N/A,#N/A,FALSE,"K";#N/A,#N/A,FALSE,"L";#N/A,#N/A,FALSE,"M";#N/A,#N/A,FALSE,"N";#N/A,#N/A,FALSE,"O"}</definedName>
    <definedName name="hgfd" localSheetId="28" hidden="1">{#N/A,#N/A,FALSE,"I";#N/A,#N/A,FALSE,"J";#N/A,#N/A,FALSE,"K";#N/A,#N/A,FALSE,"L";#N/A,#N/A,FALSE,"M";#N/A,#N/A,FALSE,"N";#N/A,#N/A,FALSE,"O"}</definedName>
    <definedName name="hgfd" localSheetId="29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9" hidden="1">'[52]J(Priv.Cap)'!#REF!</definedName>
    <definedName name="hhh" localSheetId="10" hidden="1">'[52]J(Priv.Cap)'!#REF!</definedName>
    <definedName name="hhh" localSheetId="14" hidden="1">'[52]J(Priv.Cap)'!#REF!</definedName>
    <definedName name="hhh" localSheetId="27" hidden="1">'[52]J(Priv.Cap)'!#REF!</definedName>
    <definedName name="hhh" hidden="1">'[52]J(Priv.Cap)'!#REF!</definedName>
    <definedName name="hhhhhhh" localSheetId="27">'Graf 29 + 30'!hhhhhhh</definedName>
    <definedName name="hhhhhhh">[22]!hhhhhhh</definedName>
    <definedName name="HTML_CodePage" hidden="1">1252</definedName>
    <definedName name="HTML_Control" localSheetId="27" hidden="1">{"'Resources'!$A$1:$W$34","'Balance Sheet'!$A$1:$W$58","'SFD'!$A$1:$J$52"}</definedName>
    <definedName name="HTML_Control" localSheetId="28" hidden="1">{"'Resources'!$A$1:$W$34","'Balance Sheet'!$A$1:$W$58","'SFD'!$A$1:$J$52"}</definedName>
    <definedName name="HTML_Control" localSheetId="29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27">#REF!</definedName>
    <definedName name="CHART" localSheetId="28">#REF!</definedName>
    <definedName name="CHART" localSheetId="29">#REF!</definedName>
    <definedName name="CHART">#REF!</definedName>
    <definedName name="chart4" localSheetId="27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29" hidden="1">{#N/A,#N/A,FALSE,"CB";#N/A,#N/A,FALSE,"CMB";#N/A,#N/A,FALSE,"NBFI"}</definedName>
    <definedName name="chart4" hidden="1">{#N/A,#N/A,FALSE,"CB";#N/A,#N/A,FALSE,"CMB";#N/A,#N/A,FALSE,"NBFI"}</definedName>
    <definedName name="CHILE" localSheetId="27">#REF!</definedName>
    <definedName name="CHILE" localSheetId="28">#REF!</definedName>
    <definedName name="CHILE" localSheetId="29">#REF!</definedName>
    <definedName name="CHILE">#REF!</definedName>
    <definedName name="CHK" localSheetId="27">#REF!</definedName>
    <definedName name="CHK" localSheetId="28">#REF!</definedName>
    <definedName name="CHK" localSheetId="29">#REF!</definedName>
    <definedName name="CHK">#REF!</definedName>
    <definedName name="i" localSheetId="27">#REF!</definedName>
    <definedName name="i" localSheetId="28">#REF!</definedName>
    <definedName name="i" localSheetId="29">#REF!</definedName>
    <definedName name="i">#REF!</definedName>
    <definedName name="IESS">#REF!</definedName>
    <definedName name="ii" localSheetId="10" hidden="1">{"Tab1",#N/A,FALSE,"P";"Tab2",#N/A,FALSE,"P"}</definedName>
    <definedName name="ii" localSheetId="14" hidden="1">{"Tab1",#N/A,FALSE,"P";"Tab2",#N/A,FALSE,"P"}</definedName>
    <definedName name="ii" localSheetId="27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1" hidden="1">{"Tab1",#N/A,FALSE,"P";"Tab2",#N/A,FALSE,"P"}</definedName>
    <definedName name="ii" localSheetId="15" hidden="1">{"Tab1",#N/A,FALSE,"P";"Tab2",#N/A,FALSE,"P"}</definedName>
    <definedName name="ii" localSheetId="12" hidden="1">{"Tab1",#N/A,FALSE,"P";"Tab2",#N/A,FALSE,"P"}</definedName>
    <definedName name="ii" hidden="1">{"Tab1",#N/A,FALSE,"P";"Tab2",#N/A,FALSE,"P"}</definedName>
    <definedName name="II_pilier_2">[28]Graf14_Graf15!#REF!</definedName>
    <definedName name="II_pillar_figure">[28]Graf14_Graf15!#REF!</definedName>
    <definedName name="ima" localSheetId="27">#REF!</definedName>
    <definedName name="ima" localSheetId="28">#REF!</definedName>
    <definedName name="ima" localSheetId="29">#REF!</definedName>
    <definedName name="ima">#REF!</definedName>
    <definedName name="IMPn_2">[51]makro!$C$17</definedName>
    <definedName name="IMPn_2n">[51]makro!$C$39</definedName>
    <definedName name="IMPn_3">[51]makro!$D$17</definedName>
    <definedName name="IMPn_3n">[51]makro!$D$39</definedName>
    <definedName name="IMPn_4">[51]makro!$E$17</definedName>
    <definedName name="IMPn_4n">[51]makro!$E$39</definedName>
    <definedName name="IMPn_5">[51]makro!$F$17</definedName>
    <definedName name="IMPn_5n">[51]makro!$F$39</definedName>
    <definedName name="IMPn_6">[51]makro!$G$17</definedName>
    <definedName name="IMPn_6n">[51]makro!$G$39</definedName>
    <definedName name="IN1_" localSheetId="27">#REF!</definedName>
    <definedName name="IN1_" localSheetId="28">#REF!</definedName>
    <definedName name="IN1_" localSheetId="29">#REF!</definedName>
    <definedName name="IN1_">#REF!</definedName>
    <definedName name="IN2_" localSheetId="27">#REF!</definedName>
    <definedName name="IN2_" localSheetId="28">#REF!</definedName>
    <definedName name="IN2_" localSheetId="29">#REF!</definedName>
    <definedName name="IN2_">#REF!</definedName>
    <definedName name="INB" localSheetId="27">[29]B!$K$6:$T$6</definedName>
    <definedName name="INB">[30]B!$K$6:$T$6</definedName>
    <definedName name="INC" localSheetId="27">[29]C!$H$6:$I$6</definedName>
    <definedName name="INC">[30]C!$H$6:$I$6</definedName>
    <definedName name="ind" localSheetId="27">#REF!</definedName>
    <definedName name="ind" localSheetId="28">#REF!</definedName>
    <definedName name="ind" localSheetId="29">#REF!</definedName>
    <definedName name="ind">#REF!</definedName>
    <definedName name="INECEL" localSheetId="27">#REF!</definedName>
    <definedName name="INECEL" localSheetId="28">#REF!</definedName>
    <definedName name="INECEL" localSheetId="29">#REF!</definedName>
    <definedName name="INECEL">#REF!</definedName>
    <definedName name="inflation" localSheetId="9" hidden="1">[53]TAB34!#REF!</definedName>
    <definedName name="inflation" localSheetId="10" hidden="1">[54]TAB34!#REF!</definedName>
    <definedName name="inflation" localSheetId="14" hidden="1">[53]TAB34!#REF!</definedName>
    <definedName name="inflation" localSheetId="27" hidden="1">[55]TAB34!#REF!</definedName>
    <definedName name="inflation" hidden="1">[53]TAB34!#REF!</definedName>
    <definedName name="INPUT_2" localSheetId="27">[1]Input!#REF!</definedName>
    <definedName name="INPUT_2">[1]Input!#REF!</definedName>
    <definedName name="INPUT_4" localSheetId="27">[1]Input!#REF!</definedName>
    <definedName name="INPUT_4">[1]Input!#REF!</definedName>
    <definedName name="IPee_2">[28]Graf14_Graf15!#REF!</definedName>
    <definedName name="IPer_2">[28]Graf14_Graf15!#REF!</definedName>
    <definedName name="IT">[28]Graf14_Graf15!#REF!</definedName>
    <definedName name="IT_2">[28]Graf14_Graf15!#REF!</definedName>
    <definedName name="IT_2_bracket_2">[28]Graf14_Graf15!#REF!</definedName>
    <definedName name="jhgf" localSheetId="27" hidden="1">{"MONA",#N/A,FALSE,"S"}</definedName>
    <definedName name="jhgf" localSheetId="28" hidden="1">{"MONA",#N/A,FALSE,"S"}</definedName>
    <definedName name="jhgf" localSheetId="29" hidden="1">{"MONA",#N/A,FALSE,"S"}</definedName>
    <definedName name="jhgf" hidden="1">{"MONA",#N/A,FALSE,"S"}</definedName>
    <definedName name="jj" localSheetId="10" hidden="1">{"Riqfin97",#N/A,FALSE,"Tran";"Riqfinpro",#N/A,FALSE,"Tran"}</definedName>
    <definedName name="jj" localSheetId="14" hidden="1">{"Riqfin97",#N/A,FALSE,"Tran";"Riqfinpro",#N/A,FALSE,"Tran"}</definedName>
    <definedName name="jj" localSheetId="27" hidden="1">{"Riqfin97",#N/A,FALSE,"Tran";"Riqfinpro",#N/A,FALSE,"Tran"}</definedName>
    <definedName name="jj" localSheetId="28" hidden="1">{"Riqfin97",#N/A,FALSE,"Tran";"Riqfinpro",#N/A,FALSE,"Tran"}</definedName>
    <definedName name="jj" localSheetId="29" hidden="1">{"Riqfin97",#N/A,FALSE,"Tran";"Riqfinpro",#N/A,FALSE,"Tran"}</definedName>
    <definedName name="jj" localSheetId="1" hidden="1">{"Riqfin97",#N/A,FALSE,"Tran";"Riqfinpro",#N/A,FALSE,"Tran"}</definedName>
    <definedName name="jj" localSheetId="15" hidden="1">{"Riqfin97",#N/A,FALSE,"Tran";"Riqfinpro",#N/A,FALSE,"Tran"}</definedName>
    <definedName name="jj" localSheetId="12" hidden="1">{"Riqfin97",#N/A,FALSE,"Tran";"Riqfinpro",#N/A,FALSE,"Tran"}</definedName>
    <definedName name="jj" hidden="1">{"Riqfin97",#N/A,FALSE,"Tran";"Riqfinpro",#N/A,FALSE,"Tran"}</definedName>
    <definedName name="jjj" localSheetId="14" hidden="1">[56]M!#REF!</definedName>
    <definedName name="jjj" localSheetId="27" hidden="1">[56]M!#REF!</definedName>
    <definedName name="jjj" hidden="1">[56]M!#REF!</definedName>
    <definedName name="jjjjjj" localSheetId="14" hidden="1">'[50]J(Priv.Cap)'!#REF!</definedName>
    <definedName name="jjjjjj" localSheetId="27" hidden="1">'[50]J(Priv.Cap)'!#REF!</definedName>
    <definedName name="jjjjjj" hidden="1">'[50]J(Priv.Cap)'!#REF!</definedName>
    <definedName name="kjg" localSheetId="27" hidden="1">{#N/A,#N/A,FALSE,"SimInp1";#N/A,#N/A,FALSE,"SimInp2";#N/A,#N/A,FALSE,"SimOut1";#N/A,#N/A,FALSE,"SimOut2";#N/A,#N/A,FALSE,"SimOut3";#N/A,#N/A,FALSE,"SimOut4";#N/A,#N/A,FALSE,"SimOut5"}</definedName>
    <definedName name="kjg" localSheetId="28" hidden="1">{#N/A,#N/A,FALSE,"SimInp1";#N/A,#N/A,FALSE,"SimInp2";#N/A,#N/A,FALSE,"SimOut1";#N/A,#N/A,FALSE,"SimOut2";#N/A,#N/A,FALSE,"SimOut3";#N/A,#N/A,FALSE,"SimOut4";#N/A,#N/A,FALSE,"SimOut5"}</definedName>
    <definedName name="kjg" localSheetId="29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10" hidden="1">{"Tab1",#N/A,FALSE,"P";"Tab2",#N/A,FALSE,"P"}</definedName>
    <definedName name="kk" localSheetId="14" hidden="1">{"Tab1",#N/A,FALSE,"P";"Tab2",#N/A,FALSE,"P"}</definedName>
    <definedName name="kk" localSheetId="27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1" hidden="1">{"Tab1",#N/A,FALSE,"P";"Tab2",#N/A,FALSE,"P"}</definedName>
    <definedName name="kk" localSheetId="15" hidden="1">{"Tab1",#N/A,FALSE,"P";"Tab2",#N/A,FALSE,"P"}</definedName>
    <definedName name="kk" localSheetId="12" hidden="1">{"Tab1",#N/A,FALSE,"P";"Tab2",#N/A,FALSE,"P"}</definedName>
    <definedName name="kk" hidden="1">{"Tab1",#N/A,FALSE,"P";"Tab2",#N/A,FALSE,"P"}</definedName>
    <definedName name="kkk" localSheetId="10" hidden="1">{"Tab1",#N/A,FALSE,"P";"Tab2",#N/A,FALSE,"P"}</definedName>
    <definedName name="kkk" localSheetId="14" hidden="1">{"Tab1",#N/A,FALSE,"P";"Tab2",#N/A,FALSE,"P"}</definedName>
    <definedName name="kkk" localSheetId="27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1" hidden="1">{"Tab1",#N/A,FALSE,"P";"Tab2",#N/A,FALSE,"P"}</definedName>
    <definedName name="kkk" localSheetId="15" hidden="1">{"Tab1",#N/A,FALSE,"P";"Tab2",#N/A,FALSE,"P"}</definedName>
    <definedName name="kkk" localSheetId="12" hidden="1">{"Tab1",#N/A,FALSE,"P";"Tab2",#N/A,FALSE,"P"}</definedName>
    <definedName name="kkk" hidden="1">{"Tab1",#N/A,FALSE,"P";"Tab2",#N/A,FALSE,"P"}</definedName>
    <definedName name="kkkk" localSheetId="14" hidden="1">[44]M!#REF!</definedName>
    <definedName name="kkkk" localSheetId="27" hidden="1">[44]M!#REF!</definedName>
    <definedName name="kkkk" hidden="1">[44]M!#REF!</definedName>
    <definedName name="Konto" localSheetId="27">#REF!</definedName>
    <definedName name="Konto" localSheetId="28">#REF!</definedName>
    <definedName name="Konto" localSheetId="29">#REF!</definedName>
    <definedName name="Konto">#REF!</definedName>
    <definedName name="KSDn_2">[51]makro!$C$7</definedName>
    <definedName name="KSDn_2_up">[51]makro!$C$8</definedName>
    <definedName name="KSDn_2n">[51]makro!$C$29</definedName>
    <definedName name="KSDn_2n_up">[51]makro!$C$30</definedName>
    <definedName name="KSDn_3">[51]makro!$D$7</definedName>
    <definedName name="KSDn_3_up">[51]makro!$D$8</definedName>
    <definedName name="KSDn_3n">[51]makro!$D$29</definedName>
    <definedName name="KSDn_3n_up">[51]makro!$D$30</definedName>
    <definedName name="KSDn_4">[51]makro!$E$7</definedName>
    <definedName name="KSDn_4_up">[51]makro!$E$8</definedName>
    <definedName name="KSDn_4n">[51]makro!$E$29</definedName>
    <definedName name="KSDn_4n_up">[51]makro!$E$30</definedName>
    <definedName name="KSDn_5">[51]makro!$F$7</definedName>
    <definedName name="KSDn_5_up">[51]makro!$F$8</definedName>
    <definedName name="KSDn_5n">[51]makro!$F$29</definedName>
    <definedName name="KSDn_5n_up">[51]makro!$F$30</definedName>
    <definedName name="KSDn_6">[51]makro!$G$7</definedName>
    <definedName name="KSDn_6_up">[51]makro!$G$8</definedName>
    <definedName name="KSDn_6n">[51]makro!$G$29</definedName>
    <definedName name="KSDn_6n_up">[51]makro!$G$30</definedName>
    <definedName name="KSDr_2">[51]makro!$C$6</definedName>
    <definedName name="KSDr_2n">[51]makro!$C$28</definedName>
    <definedName name="KSDr_3">[51]makro!$D$6</definedName>
    <definedName name="KSDr_3n">[51]makro!$D$28</definedName>
    <definedName name="KSDr_4">[51]makro!$E$6</definedName>
    <definedName name="KSDr_4n">[51]makro!$E$28</definedName>
    <definedName name="KSDr_5">[51]makro!$F$6</definedName>
    <definedName name="KSDr_5n">[51]makro!$F$28</definedName>
    <definedName name="KSDr_6">[51]makro!$G$6</definedName>
    <definedName name="KSDr_6n">[51]makro!$G$28</definedName>
    <definedName name="kumul1" localSheetId="27">#REF!</definedName>
    <definedName name="kumul1" localSheetId="28">#REF!</definedName>
    <definedName name="kumul1" localSheetId="29">#REF!</definedName>
    <definedName name="kumul1">#REF!</definedName>
    <definedName name="kumul2" localSheetId="27">#REF!</definedName>
    <definedName name="kumul2" localSheetId="28">#REF!</definedName>
    <definedName name="kumul2" localSheetId="29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l" localSheetId="10" hidden="1">{"Tab1",#N/A,FALSE,"P";"Tab2",#N/A,FALSE,"P"}</definedName>
    <definedName name="ll" localSheetId="14" hidden="1">{"Tab1",#N/A,FALSE,"P";"Tab2",#N/A,FALSE,"P"}</definedName>
    <definedName name="ll" localSheetId="27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1" hidden="1">{"Tab1",#N/A,FALSE,"P";"Tab2",#N/A,FALSE,"P"}</definedName>
    <definedName name="ll" localSheetId="15" hidden="1">{"Tab1",#N/A,FALSE,"P";"Tab2",#N/A,FALSE,"P"}</definedName>
    <definedName name="ll" localSheetId="12" hidden="1">{"Tab1",#N/A,FALSE,"P";"Tab2",#N/A,FALSE,"P"}</definedName>
    <definedName name="ll" hidden="1">{"Tab1",#N/A,FALSE,"P";"Tab2",#N/A,FALSE,"P"}</definedName>
    <definedName name="lll" localSheetId="10" hidden="1">{"Riqfin97",#N/A,FALSE,"Tran";"Riqfinpro",#N/A,FALSE,"Tran"}</definedName>
    <definedName name="lll" localSheetId="14" hidden="1">{"Riqfin97",#N/A,FALSE,"Tran";"Riqfinpro",#N/A,FALSE,"Tran"}</definedName>
    <definedName name="lll" localSheetId="27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1" hidden="1">{"Riqfin97",#N/A,FALSE,"Tran";"Riqfinpro",#N/A,FALSE,"Tran"}</definedName>
    <definedName name="lll" localSheetId="15" hidden="1">{"Riqfin97",#N/A,FALSE,"Tran";"Riqfinpro",#N/A,FALSE,"Tran"}</definedName>
    <definedName name="lll" localSheetId="12" hidden="1">{"Riqfin97",#N/A,FALSE,"Tran";"Riqfinpro",#N/A,FALSE,"Tran"}</definedName>
    <definedName name="lll" hidden="1">{"Riqfin97",#N/A,FALSE,"Tran";"Riqfinpro",#N/A,FALSE,"Tran"}</definedName>
    <definedName name="llll" localSheetId="14" hidden="1">[56]M!#REF!</definedName>
    <definedName name="llll" localSheetId="27" hidden="1">[56]M!#REF!</definedName>
    <definedName name="llll" hidden="1">[56]M!#REF!</definedName>
    <definedName name="ls">[43]LS!$A$1:$E$65536</definedName>
    <definedName name="LUR">#N/A</definedName>
    <definedName name="Malaysia" localSheetId="27">#REF!</definedName>
    <definedName name="Malaysia" localSheetId="28">#REF!</definedName>
    <definedName name="Malaysia" localSheetId="29">#REF!</definedName>
    <definedName name="Malaysia">#REF!</definedName>
    <definedName name="MB_2">[51]makro!$C$11</definedName>
    <definedName name="MB_2n">[51]makro!$C$33</definedName>
    <definedName name="MB_3">[51]makro!$D$11</definedName>
    <definedName name="MB_3n">[51]makro!$D$33</definedName>
    <definedName name="MB_4">[51]makro!$E$11</definedName>
    <definedName name="MB_4n">[51]makro!$E$33</definedName>
    <definedName name="MB_5">[51]makro!$F$11</definedName>
    <definedName name="MB_5n">[51]makro!$F$33</definedName>
    <definedName name="MB_6">[51]makro!$G$11</definedName>
    <definedName name="MB_6n">[51]makro!$G$33</definedName>
    <definedName name="MCV">#N/A</definedName>
    <definedName name="MCV_B">#N/A</definedName>
    <definedName name="MCV_B1" localSheetId="27">'[26]WEO-BOP'!#REF!</definedName>
    <definedName name="MCV_B1">'[26]WEO-BOP'!#REF!</definedName>
    <definedName name="MCV_D">#N/A</definedName>
    <definedName name="MCV_N">#N/A</definedName>
    <definedName name="MCV_T">#N/A</definedName>
    <definedName name="MENORES" localSheetId="27">#REF!</definedName>
    <definedName name="MENORES" localSheetId="28">#REF!</definedName>
    <definedName name="MENORES" localSheetId="29">#REF!</definedName>
    <definedName name="MENORES">#REF!</definedName>
    <definedName name="mesec1" localSheetId="27">#REF!</definedName>
    <definedName name="mesec1" localSheetId="28">#REF!</definedName>
    <definedName name="mesec1" localSheetId="29">#REF!</definedName>
    <definedName name="mesec1">#REF!</definedName>
    <definedName name="mesec2" localSheetId="27">#REF!</definedName>
    <definedName name="mesec2" localSheetId="28">#REF!</definedName>
    <definedName name="mesec2" localSheetId="29">#REF!</definedName>
    <definedName name="mesec2">#REF!</definedName>
    <definedName name="mf" localSheetId="10" hidden="1">{"Tab1",#N/A,FALSE,"P";"Tab2",#N/A,FALSE,"P"}</definedName>
    <definedName name="mf" localSheetId="14" hidden="1">{"Tab1",#N/A,FALSE,"P";"Tab2",#N/A,FALSE,"P"}</definedName>
    <definedName name="mf" localSheetId="27" hidden="1">{"Tab1",#N/A,FALSE,"P";"Tab2",#N/A,FALSE,"P"}</definedName>
    <definedName name="mf" localSheetId="28" hidden="1">{"Tab1",#N/A,FALSE,"P";"Tab2",#N/A,FALSE,"P"}</definedName>
    <definedName name="mf" localSheetId="29" hidden="1">{"Tab1",#N/A,FALSE,"P";"Tab2",#N/A,FALSE,"P"}</definedName>
    <definedName name="mf" localSheetId="1" hidden="1">{"Tab1",#N/A,FALSE,"P";"Tab2",#N/A,FALSE,"P"}</definedName>
    <definedName name="mf" localSheetId="15" hidden="1">{"Tab1",#N/A,FALSE,"P";"Tab2",#N/A,FALSE,"P"}</definedName>
    <definedName name="mf" localSheetId="12" hidden="1">{"Tab1",#N/A,FALSE,"P";"Tab2",#N/A,FALSE,"P"}</definedName>
    <definedName name="mf" hidden="1">{"Tab1",#N/A,FALSE,"P";"Tab2",#N/A,FALSE,"P"}</definedName>
    <definedName name="MFISCAL" localSheetId="27">'[3]Annual Raw Data'!#REF!</definedName>
    <definedName name="MFISCAL">'[3]Annual Raw Data'!#REF!</definedName>
    <definedName name="mflowsa" localSheetId="27">[19]!mflowsa</definedName>
    <definedName name="mflowsa">[19]!mflowsa</definedName>
    <definedName name="mflowsq" localSheetId="27">[19]!mflowsq</definedName>
    <definedName name="mflowsq">[19]!mflowsq</definedName>
    <definedName name="MICRO" localSheetId="27">#REF!</definedName>
    <definedName name="MICRO" localSheetId="28">#REF!</definedName>
    <definedName name="MICRO" localSheetId="29">#REF!</definedName>
    <definedName name="MICRO">#REF!</definedName>
    <definedName name="min_VZ" localSheetId="27">[28]Graf14_Graf15!#REF!</definedName>
    <definedName name="min_VZ" localSheetId="28">[28]Graf14_Graf15!#REF!</definedName>
    <definedName name="min_VZ" localSheetId="29">[28]Graf14_Graf15!#REF!</definedName>
    <definedName name="min_VZ">[28]Graf14_Graf15!#REF!</definedName>
    <definedName name="MISC3" localSheetId="27">#REF!</definedName>
    <definedName name="MISC3" localSheetId="28">#REF!</definedName>
    <definedName name="MISC3" localSheetId="29">#REF!</definedName>
    <definedName name="MISC3">#REF!</definedName>
    <definedName name="MISC4" localSheetId="27">[1]OUTPUT!#REF!</definedName>
    <definedName name="MISC4" localSheetId="28">[1]OUTPUT!#REF!</definedName>
    <definedName name="MISC4" localSheetId="29">[1]OUTPUT!#REF!</definedName>
    <definedName name="MISC4">[1]OUTPUT!#REF!</definedName>
    <definedName name="mmm" localSheetId="10" hidden="1">{"Riqfin97",#N/A,FALSE,"Tran";"Riqfinpro",#N/A,FALSE,"Tran"}</definedName>
    <definedName name="mmm" localSheetId="14" hidden="1">{"Riqfin97",#N/A,FALSE,"Tran";"Riqfinpro",#N/A,FALSE,"Tran"}</definedName>
    <definedName name="mmm" localSheetId="27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1" hidden="1">{"Riqfin97",#N/A,FALSE,"Tran";"Riqfinpro",#N/A,FALSE,"Tran"}</definedName>
    <definedName name="mmm" localSheetId="15" hidden="1">{"Riqfin97",#N/A,FALSE,"Tran";"Riqfinpro",#N/A,FALSE,"Tran"}</definedName>
    <definedName name="mmm" localSheetId="12" hidden="1">{"Riqfin97",#N/A,FALSE,"Tran";"Riqfinpro",#N/A,FALSE,"Tran"}</definedName>
    <definedName name="mmm" hidden="1">{"Riqfin97",#N/A,FALSE,"Tran";"Riqfinpro",#N/A,FALSE,"Tran"}</definedName>
    <definedName name="mmmm" localSheetId="10" hidden="1">{"Tab1",#N/A,FALSE,"P";"Tab2",#N/A,FALSE,"P"}</definedName>
    <definedName name="mmmm" localSheetId="14" hidden="1">{"Tab1",#N/A,FALSE,"P";"Tab2",#N/A,FALSE,"P"}</definedName>
    <definedName name="mmmm" localSheetId="27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1" hidden="1">{"Tab1",#N/A,FALSE,"P";"Tab2",#N/A,FALSE,"P"}</definedName>
    <definedName name="mmmm" localSheetId="15" hidden="1">{"Tab1",#N/A,FALSE,"P";"Tab2",#N/A,FALSE,"P"}</definedName>
    <definedName name="mmmm" localSheetId="12" hidden="1">{"Tab1",#N/A,FALSE,"P";"Tab2",#N/A,FALSE,"P"}</definedName>
    <definedName name="mmmm" hidden="1">{"Tab1",#N/A,FALSE,"P";"Tab2",#N/A,FALSE,"P"}</definedName>
    <definedName name="MON_SM" localSheetId="27">#REF!</definedName>
    <definedName name="MON_SM" localSheetId="28">#REF!</definedName>
    <definedName name="MON_SM" localSheetId="29">#REF!</definedName>
    <definedName name="MON_SM">#REF!</definedName>
    <definedName name="MONF_SM" localSheetId="27">#REF!</definedName>
    <definedName name="MONF_SM" localSheetId="28">#REF!</definedName>
    <definedName name="MONF_SM" localSheetId="29">#REF!</definedName>
    <definedName name="MONF_SM">#REF!</definedName>
    <definedName name="MONTH" localSheetId="27">[6]REER!$D$140:$E$199</definedName>
    <definedName name="MONTH">[21]REER!$D$140:$E$199</definedName>
    <definedName name="mstocksa" localSheetId="27">[19]!mstocksa</definedName>
    <definedName name="mstocksa">[19]!mstocksa</definedName>
    <definedName name="mstocksq" localSheetId="27">[19]!mstocksq</definedName>
    <definedName name="mstocksq">[19]!mstocksq</definedName>
    <definedName name="MTO" localSheetId="27">#REF!</definedName>
    <definedName name="MTO" localSheetId="28">#REF!</definedName>
    <definedName name="MTO" localSheetId="29">#REF!</definedName>
    <definedName name="MTO">#REF!</definedName>
    <definedName name="Municipios" localSheetId="27">#REF!</definedName>
    <definedName name="Municipios" localSheetId="28">#REF!</definedName>
    <definedName name="Municipios" localSheetId="29">#REF!</definedName>
    <definedName name="Municipios">#REF!</definedName>
    <definedName name="MVZ_1.5x" localSheetId="27">[28]Graf14_Graf15!#REF!</definedName>
    <definedName name="MVZ_1.5x" localSheetId="28">[28]Graf14_Graf15!#REF!</definedName>
    <definedName name="MVZ_1.5x" localSheetId="29">[28]Graf14_Graf15!#REF!</definedName>
    <definedName name="MVZ_1.5x">[28]Graf14_Graf15!#REF!</definedName>
    <definedName name="MVZ_4x" localSheetId="27">[28]Graf14_Graf15!#REF!</definedName>
    <definedName name="MVZ_4x" localSheetId="28">[28]Graf14_Graf15!#REF!</definedName>
    <definedName name="MVZ_4x" localSheetId="29">[28]Graf14_Graf15!#REF!</definedName>
    <definedName name="MVZ_4x">[28]Graf14_Graf15!#REF!</definedName>
    <definedName name="MVZ_5x" localSheetId="27">[28]Graf14_Graf15!#REF!</definedName>
    <definedName name="MVZ_5x" localSheetId="28">[28]Graf14_Graf15!#REF!</definedName>
    <definedName name="MVZ_5x" localSheetId="29">[28]Graf14_Graf15!#REF!</definedName>
    <definedName name="MVZ_5x">[28]Graf14_Graf15!#REF!</definedName>
    <definedName name="MW" localSheetId="27">[28]Graf14_Graf15!#REF!</definedName>
    <definedName name="MW" localSheetId="28">[28]Graf14_Graf15!#REF!</definedName>
    <definedName name="MW" localSheetId="29">[28]Graf14_Graf15!#REF!</definedName>
    <definedName name="MW">[28]Graf14_Graf15!#REF!</definedName>
    <definedName name="MW_2" localSheetId="27">[28]Graf14_Graf15!#REF!</definedName>
    <definedName name="MW_2" localSheetId="28">[28]Graf14_Graf15!#REF!</definedName>
    <definedName name="MW_2" localSheetId="29">[28]Graf14_Graf15!#REF!</definedName>
    <definedName name="MW_2">[28]Graf14_Graf15!#REF!</definedName>
    <definedName name="NACTCURRENT" localSheetId="27">#REF!</definedName>
    <definedName name="NACTCURRENT" localSheetId="28">#REF!</definedName>
    <definedName name="NACTCURRENT" localSheetId="29">#REF!</definedName>
    <definedName name="NACTCURRENT">#REF!</definedName>
    <definedName name="nam1out" localSheetId="27">#REF!</definedName>
    <definedName name="nam1out" localSheetId="28">#REF!</definedName>
    <definedName name="nam1out" localSheetId="29">#REF!</definedName>
    <definedName name="nam1out">#REF!</definedName>
    <definedName name="nam2in" localSheetId="27">#REF!</definedName>
    <definedName name="nam2in" localSheetId="28">#REF!</definedName>
    <definedName name="nam2in" localSheetId="29">#REF!</definedName>
    <definedName name="nam2in">#REF!</definedName>
    <definedName name="nam2out">#REF!</definedName>
    <definedName name="NAMB" localSheetId="27">[6]REER!$AY$143:$BB$143</definedName>
    <definedName name="NAMB">[21]REER!$AY$143:$BB$143</definedName>
    <definedName name="namcr" localSheetId="27">'[2]Tab ann curr'!#REF!</definedName>
    <definedName name="namcr" localSheetId="28">'[2]Tab ann curr'!#REF!</definedName>
    <definedName name="namcr" localSheetId="29">'[2]Tab ann curr'!#REF!</definedName>
    <definedName name="namcr">'[2]Tab ann curr'!#REF!</definedName>
    <definedName name="namcs" localSheetId="27">'[2]Tab ann cst'!#REF!</definedName>
    <definedName name="namcs" localSheetId="28">'[2]Tab ann cst'!#REF!</definedName>
    <definedName name="namcs" localSheetId="29">'[2]Tab ann cst'!#REF!</definedName>
    <definedName name="namcs">'[2]Tab ann cst'!#REF!</definedName>
    <definedName name="name_AD">[35]Sheet1!$A$20</definedName>
    <definedName name="name_EXP">[35]Sheet1!$N$54:$N$71</definedName>
    <definedName name="name_FISC" localSheetId="27">#REF!</definedName>
    <definedName name="name_FISC" localSheetId="28">#REF!</definedName>
    <definedName name="name_FISC" localSheetId="29">#REF!</definedName>
    <definedName name="name_FISC">#REF!</definedName>
    <definedName name="nameIntLiq" localSheetId="27">#REF!</definedName>
    <definedName name="nameIntLiq" localSheetId="28">#REF!</definedName>
    <definedName name="nameIntLiq" localSheetId="29">#REF!</definedName>
    <definedName name="nameIntLiq">#REF!</definedName>
    <definedName name="nameMoney" localSheetId="27">#REF!</definedName>
    <definedName name="nameMoney" localSheetId="28">#REF!</definedName>
    <definedName name="nameMoney" localSheetId="29">#REF!</definedName>
    <definedName name="nameMoney">#REF!</definedName>
    <definedName name="nameRATES">#REF!</definedName>
    <definedName name="nameRAWQ" localSheetId="27">'[36]Raw Data'!#REF!</definedName>
    <definedName name="nameRAWQ">'[36]Raw Data'!#REF!</definedName>
    <definedName name="nameReal" localSheetId="27">#REF!</definedName>
    <definedName name="nameReal" localSheetId="28">#REF!</definedName>
    <definedName name="nameReal" localSheetId="29">#REF!</definedName>
    <definedName name="nameReal">#REF!</definedName>
    <definedName name="names" localSheetId="27">#REF!</definedName>
    <definedName name="names" localSheetId="28">#REF!</definedName>
    <definedName name="names" localSheetId="29">#REF!</definedName>
    <definedName name="names">#REF!</definedName>
    <definedName name="NAMES_fidr_r" localSheetId="27">[33]monthly!#REF!</definedName>
    <definedName name="NAMES_fidr_r" localSheetId="28">[34]monthly!#REF!</definedName>
    <definedName name="NAMES_fidr_r" localSheetId="29">[34]monthly!#REF!</definedName>
    <definedName name="NAMES_fidr_r">[34]monthly!#REF!</definedName>
    <definedName name="names_figb_r" localSheetId="27">[33]monthly!#REF!</definedName>
    <definedName name="names_figb_r" localSheetId="28">[34]monthly!#REF!</definedName>
    <definedName name="names_figb_r" localSheetId="29">[34]monthly!#REF!</definedName>
    <definedName name="names_figb_r">[34]monthly!#REF!</definedName>
    <definedName name="names_w" localSheetId="27">#REF!</definedName>
    <definedName name="names_w" localSheetId="28">#REF!</definedName>
    <definedName name="names_w" localSheetId="29">#REF!</definedName>
    <definedName name="names_w">#REF!</definedName>
    <definedName name="names1in" localSheetId="27">#REF!</definedName>
    <definedName name="names1in" localSheetId="28">#REF!</definedName>
    <definedName name="names1in" localSheetId="29">#REF!</definedName>
    <definedName name="names1in">#REF!</definedName>
    <definedName name="NAMESB" localSheetId="27">#REF!</definedName>
    <definedName name="NAMESB" localSheetId="28">#REF!</definedName>
    <definedName name="NAMESB" localSheetId="29">#REF!</definedName>
    <definedName name="NAMESB">#REF!</definedName>
    <definedName name="namesc">#REF!</definedName>
    <definedName name="NAMESG" localSheetId="27">#REF!</definedName>
    <definedName name="NAMESG">#REF!</definedName>
    <definedName name="namesm">#REF!</definedName>
    <definedName name="NAMESQ">#REF!</definedName>
    <definedName name="namesr">#REF!</definedName>
    <definedName name="namestran" localSheetId="27">[29]transfer!$C$1:$O$1</definedName>
    <definedName name="namestran">[30]transfer!$C$1:$O$1</definedName>
    <definedName name="namgdp" localSheetId="27">#REF!</definedName>
    <definedName name="namgdp" localSheetId="28">#REF!</definedName>
    <definedName name="namgdp" localSheetId="29">#REF!</definedName>
    <definedName name="namgdp">#REF!</definedName>
    <definedName name="NAMIN" localSheetId="27">#REF!</definedName>
    <definedName name="NAMIN" localSheetId="28">#REF!</definedName>
    <definedName name="NAMIN" localSheetId="29">#REF!</definedName>
    <definedName name="NAMIN">#REF!</definedName>
    <definedName name="namin1" localSheetId="27">[6]REER!$F$1:$BP$1</definedName>
    <definedName name="namin1">[21]REER!$F$1:$BP$1</definedName>
    <definedName name="namin2" localSheetId="27">[6]REER!$F$138:$AA$138</definedName>
    <definedName name="namin2">[21]REER!$F$138:$AA$138</definedName>
    <definedName name="namind" localSheetId="27">'[2]work Q real'!#REF!</definedName>
    <definedName name="namind" localSheetId="28">'[2]work Q real'!#REF!</definedName>
    <definedName name="namind" localSheetId="29">'[2]work Q real'!#REF!</definedName>
    <definedName name="namind">'[2]work Q real'!#REF!</definedName>
    <definedName name="naminm" localSheetId="27">#REF!</definedName>
    <definedName name="naminm" localSheetId="28">#REF!</definedName>
    <definedName name="naminm" localSheetId="29">#REF!</definedName>
    <definedName name="naminm">#REF!</definedName>
    <definedName name="naminq" localSheetId="27">#REF!</definedName>
    <definedName name="naminq" localSheetId="28">#REF!</definedName>
    <definedName name="naminq" localSheetId="29">#REF!</definedName>
    <definedName name="naminq">#REF!</definedName>
    <definedName name="namm" localSheetId="27">#REF!</definedName>
    <definedName name="namm" localSheetId="28">#REF!</definedName>
    <definedName name="namm" localSheetId="29">#REF!</definedName>
    <definedName name="namm">#REF!</definedName>
    <definedName name="NAMOUT">#REF!</definedName>
    <definedName name="namout1" localSheetId="27">[6]REER!$F$2:$AA$2</definedName>
    <definedName name="namout1">[21]REER!$F$2:$AA$2</definedName>
    <definedName name="namoutm" localSheetId="27">#REF!</definedName>
    <definedName name="namoutm" localSheetId="28">#REF!</definedName>
    <definedName name="namoutm" localSheetId="29">#REF!</definedName>
    <definedName name="namoutm">#REF!</definedName>
    <definedName name="namoutq" localSheetId="27">#REF!</definedName>
    <definedName name="namoutq" localSheetId="28">#REF!</definedName>
    <definedName name="namoutq" localSheetId="29">#REF!</definedName>
    <definedName name="namoutq">#REF!</definedName>
    <definedName name="namprofit" localSheetId="27">[6]C!$O$1:$Z$1</definedName>
    <definedName name="namprofit">[21]C!$O$1:$Z$1</definedName>
    <definedName name="namq" localSheetId="27">#REF!</definedName>
    <definedName name="namq" localSheetId="28">#REF!</definedName>
    <definedName name="namq" localSheetId="29">#REF!</definedName>
    <definedName name="namq">#REF!</definedName>
    <definedName name="namq1" localSheetId="27">#REF!</definedName>
    <definedName name="namq1" localSheetId="28">#REF!</definedName>
    <definedName name="namq1" localSheetId="29">#REF!</definedName>
    <definedName name="namq1">#REF!</definedName>
    <definedName name="namq2" localSheetId="27">#REF!</definedName>
    <definedName name="namq2" localSheetId="28">#REF!</definedName>
    <definedName name="namq2" localSheetId="29">#REF!</definedName>
    <definedName name="namq2">#REF!</definedName>
    <definedName name="namreer" localSheetId="27">[6]REER!$AY$143:$BF$143</definedName>
    <definedName name="namreer">[21]REER!$AY$143:$BF$143</definedName>
    <definedName name="namsgdp" localSheetId="27">#REF!</definedName>
    <definedName name="namsgdp" localSheetId="28">#REF!</definedName>
    <definedName name="namsgdp" localSheetId="29">#REF!</definedName>
    <definedName name="namsgdp">#REF!</definedName>
    <definedName name="namtin" localSheetId="27">#REF!</definedName>
    <definedName name="namtin" localSheetId="28">#REF!</definedName>
    <definedName name="namtin" localSheetId="29">#REF!</definedName>
    <definedName name="namtin">#REF!</definedName>
    <definedName name="namtout" localSheetId="27">#REF!</definedName>
    <definedName name="namtout" localSheetId="28">#REF!</definedName>
    <definedName name="namtout" localSheetId="29">#REF!</definedName>
    <definedName name="namtout">#REF!</definedName>
    <definedName name="namulc" localSheetId="27">[6]REER!$BI$1:$BP$1</definedName>
    <definedName name="namulc">[21]REER!$BI$1:$BP$1</definedName>
    <definedName name="_xlnm.Print_Titles" localSheetId="27">#REF!,#REF!</definedName>
    <definedName name="_xlnm.Print_Titles" localSheetId="28">#REF!,#REF!</definedName>
    <definedName name="_xlnm.Print_Titles" localSheetId="29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27">[28]Graf14_Graf15!#REF!</definedName>
    <definedName name="NCZD" localSheetId="28">[28]Graf14_Graf15!#REF!</definedName>
    <definedName name="NCZD" localSheetId="29">[28]Graf14_Graf15!#REF!</definedName>
    <definedName name="NCZD">[28]Graf14_Graf15!#REF!</definedName>
    <definedName name="NCZD_2" localSheetId="27">[28]Graf14_Graf15!#REF!</definedName>
    <definedName name="NCZD_2" localSheetId="28">[28]Graf14_Graf15!#REF!</definedName>
    <definedName name="NCZD_2" localSheetId="29">[28]Graf14_Graf15!#REF!</definedName>
    <definedName name="NCZD_2">[28]Graf14_Graf15!#REF!</definedName>
    <definedName name="NEER" localSheetId="27">[6]REER!$AY$144:$AY$206</definedName>
    <definedName name="NEER">[21]REER!$AY$144:$AY$206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27">#REF!</definedName>
    <definedName name="NGDPA" localSheetId="28">#REF!</definedName>
    <definedName name="NGDPA" localSheetId="29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10" hidden="1">{"Riqfin97",#N/A,FALSE,"Tran";"Riqfinpro",#N/A,FALSE,"Tran"}</definedName>
    <definedName name="nn" localSheetId="14" hidden="1">{"Riqfin97",#N/A,FALSE,"Tran";"Riqfinpro",#N/A,FALSE,"Tran"}</definedName>
    <definedName name="nn" localSheetId="27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1" hidden="1">{"Riqfin97",#N/A,FALSE,"Tran";"Riqfinpro",#N/A,FALSE,"Tran"}</definedName>
    <definedName name="nn" localSheetId="15" hidden="1">{"Riqfin97",#N/A,FALSE,"Tran";"Riqfinpro",#N/A,FALSE,"Tran"}</definedName>
    <definedName name="nn" localSheetId="12" hidden="1">{"Riqfin97",#N/A,FALSE,"Tran";"Riqfinpro",#N/A,FALSE,"Tran"}</definedName>
    <definedName name="nn" hidden="1">{"Riqfin97",#N/A,FALSE,"Tran";"Riqfinpro",#N/A,FALSE,"Tran"}</definedName>
    <definedName name="nnn" localSheetId="10" hidden="1">{"Tab1",#N/A,FALSE,"P";"Tab2",#N/A,FALSE,"P"}</definedName>
    <definedName name="nnn" localSheetId="14" hidden="1">{"Tab1",#N/A,FALSE,"P";"Tab2",#N/A,FALSE,"P"}</definedName>
    <definedName name="nnn" localSheetId="27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1" hidden="1">{"Tab1",#N/A,FALSE,"P";"Tab2",#N/A,FALSE,"P"}</definedName>
    <definedName name="nnn" localSheetId="15" hidden="1">{"Tab1",#N/A,FALSE,"P";"Tab2",#N/A,FALSE,"P"}</definedName>
    <definedName name="nnn" localSheetId="12" hidden="1">{"Tab1",#N/A,FALSE,"P";"Tab2",#N/A,FALSE,"P"}</definedName>
    <definedName name="nnn" hidden="1">{"Tab1",#N/A,FALSE,"P";"Tab2",#N/A,FALSE,"P"}</definedName>
    <definedName name="NOMINAL" localSheetId="27">#REF!</definedName>
    <definedName name="NOMINAL" localSheetId="28">#REF!</definedName>
    <definedName name="NOMINAL" localSheetId="29">#REF!</definedName>
    <definedName name="NOMINAL">#REF!</definedName>
    <definedName name="NPee_2" localSheetId="27">[28]Graf14_Graf15!#REF!</definedName>
    <definedName name="NPee_2" localSheetId="28">[28]Graf14_Graf15!#REF!</definedName>
    <definedName name="NPee_2" localSheetId="29">[28]Graf14_Graf15!#REF!</definedName>
    <definedName name="NPee_2">[28]Graf14_Graf15!#REF!</definedName>
    <definedName name="NPer_2" localSheetId="27">[28]Graf14_Graf15!#REF!</definedName>
    <definedName name="NPer_2" localSheetId="28">[28]Graf14_Graf15!#REF!</definedName>
    <definedName name="NPer_2" localSheetId="29">[28]Graf14_Graf15!#REF!</definedName>
    <definedName name="NPer_2">[28]Graf14_Graf15!#REF!</definedName>
    <definedName name="NTDD_RG" localSheetId="27">'Graf 29 + 30'!NTDD_RG</definedName>
    <definedName name="NTDD_RG">[22]!NTDD_RG</definedName>
    <definedName name="NX">#N/A</definedName>
    <definedName name="NX_R">#N/A</definedName>
    <definedName name="NXG_RG">#N/A</definedName>
    <definedName name="_xlnm.Print_Area">#N/A</definedName>
    <definedName name="Odh" localSheetId="27">#REF!</definedName>
    <definedName name="Odh" localSheetId="28">#REF!</definedName>
    <definedName name="Odh" localSheetId="29">#REF!</definedName>
    <definedName name="Odh">#REF!</definedName>
    <definedName name="oliu" localSheetId="27" hidden="1">{"WEO",#N/A,FALSE,"T"}</definedName>
    <definedName name="oliu" localSheetId="28" hidden="1">{"WEO",#N/A,FALSE,"T"}</definedName>
    <definedName name="oliu" localSheetId="29" hidden="1">{"WEO",#N/A,FALSE,"T"}</definedName>
    <definedName name="oliu" hidden="1">{"WEO",#N/A,FALSE,"T"}</definedName>
    <definedName name="oo" localSheetId="10" hidden="1">{"Riqfin97",#N/A,FALSE,"Tran";"Riqfinpro",#N/A,FALSE,"Tran"}</definedName>
    <definedName name="oo" localSheetId="14" hidden="1">{"Riqfin97",#N/A,FALSE,"Tran";"Riqfinpro",#N/A,FALSE,"Tran"}</definedName>
    <definedName name="oo" localSheetId="27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1" hidden="1">{"Riqfin97",#N/A,FALSE,"Tran";"Riqfinpro",#N/A,FALSE,"Tran"}</definedName>
    <definedName name="oo" localSheetId="15" hidden="1">{"Riqfin97",#N/A,FALSE,"Tran";"Riqfinpro",#N/A,FALSE,"Tran"}</definedName>
    <definedName name="oo" localSheetId="12" hidden="1">{"Riqfin97",#N/A,FALSE,"Tran";"Riqfinpro",#N/A,FALSE,"Tran"}</definedName>
    <definedName name="oo" hidden="1">{"Riqfin97",#N/A,FALSE,"Tran";"Riqfinpro",#N/A,FALSE,"Tran"}</definedName>
    <definedName name="ooo" localSheetId="10" hidden="1">{"Tab1",#N/A,FALSE,"P";"Tab2",#N/A,FALSE,"P"}</definedName>
    <definedName name="ooo" localSheetId="14" hidden="1">{"Tab1",#N/A,FALSE,"P";"Tab2",#N/A,FALSE,"P"}</definedName>
    <definedName name="ooo" localSheetId="27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1" hidden="1">{"Tab1",#N/A,FALSE,"P";"Tab2",#N/A,FALSE,"P"}</definedName>
    <definedName name="ooo" localSheetId="15" hidden="1">{"Tab1",#N/A,FALSE,"P";"Tab2",#N/A,FALSE,"P"}</definedName>
    <definedName name="ooo" localSheetId="12" hidden="1">{"Tab1",#N/A,FALSE,"P";"Tab2",#N/A,FALSE,"P"}</definedName>
    <definedName name="ooo" hidden="1">{"Tab1",#N/A,FALSE,"P";"Tab2",#N/A,FALSE,"P"}</definedName>
    <definedName name="OS2015_new">#REF!</definedName>
    <definedName name="other" localSheetId="27">#REF!</definedName>
    <definedName name="other" localSheetId="28">#REF!</definedName>
    <definedName name="other" localSheetId="29">#REF!</definedName>
    <definedName name="other">#REF!</definedName>
    <definedName name="Otras_Residuales" localSheetId="27">#REF!</definedName>
    <definedName name="Otras_Residuales" localSheetId="28">#REF!</definedName>
    <definedName name="Otras_Residuales" localSheetId="29">#REF!</definedName>
    <definedName name="Otras_Residuales">#REF!</definedName>
    <definedName name="out">[57]output!$A$3:$P$128</definedName>
    <definedName name="OUTB" localSheetId="27">[29]B!$D$6:$H$6</definedName>
    <definedName name="OUTB">[30]B!$D$6:$H$6</definedName>
    <definedName name="outc" localSheetId="27">[29]C!$C$6:$D$6</definedName>
    <definedName name="outc">[30]C!$C$6:$D$6</definedName>
    <definedName name="output" localSheetId="27">#REF!</definedName>
    <definedName name="output" localSheetId="28">#REF!</definedName>
    <definedName name="output" localSheetId="29">#REF!</definedName>
    <definedName name="output">#REF!</definedName>
    <definedName name="output_projections">[58]projections!$A$3:$R$108</definedName>
    <definedName name="output1">[25]output!$A$1:$J$122</definedName>
    <definedName name="p" localSheetId="10" hidden="1">{"Riqfin97",#N/A,FALSE,"Tran";"Riqfinpro",#N/A,FALSE,"Tran"}</definedName>
    <definedName name="p" localSheetId="14" hidden="1">{"Riqfin97",#N/A,FALSE,"Tran";"Riqfinpro",#N/A,FALSE,"Tran"}</definedName>
    <definedName name="p" localSheetId="27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1" hidden="1">{"Riqfin97",#N/A,FALSE,"Tran";"Riqfinpro",#N/A,FALSE,"Tran"}</definedName>
    <definedName name="p" localSheetId="15" hidden="1">{"Riqfin97",#N/A,FALSE,"Tran";"Riqfinpro",#N/A,FALSE,"Tran"}</definedName>
    <definedName name="p" localSheetId="12" hidden="1">{"Riqfin97",#N/A,FALSE,"Tran";"Riqfinpro",#N/A,FALSE,"Tran"}</definedName>
    <definedName name="p" hidden="1">{"Riqfin97",#N/A,FALSE,"Tran";"Riqfinpro",#N/A,FALSE,"Tran"}</definedName>
    <definedName name="Page_4" localSheetId="27">#REF!</definedName>
    <definedName name="Page_4" localSheetId="28">#REF!</definedName>
    <definedName name="Page_4" localSheetId="29">#REF!</definedName>
    <definedName name="Page_4">#REF!</definedName>
    <definedName name="page2" localSheetId="27">#REF!</definedName>
    <definedName name="page2" localSheetId="28">#REF!</definedName>
    <definedName name="page2" localSheetId="29">#REF!</definedName>
    <definedName name="page2">#REF!</definedName>
    <definedName name="pata" localSheetId="10" hidden="1">{"Tab1",#N/A,FALSE,"P";"Tab2",#N/A,FALSE,"P"}</definedName>
    <definedName name="pata" localSheetId="14" hidden="1">{"Tab1",#N/A,FALSE,"P";"Tab2",#N/A,FALSE,"P"}</definedName>
    <definedName name="pata" localSheetId="27" hidden="1">{"Tab1",#N/A,FALSE,"P";"Tab2",#N/A,FALSE,"P"}</definedName>
    <definedName name="pata" localSheetId="28" hidden="1">{"Tab1",#N/A,FALSE,"P";"Tab2",#N/A,FALSE,"P"}</definedName>
    <definedName name="pata" localSheetId="29" hidden="1">{"Tab1",#N/A,FALSE,"P";"Tab2",#N/A,FALSE,"P"}</definedName>
    <definedName name="pata" localSheetId="1" hidden="1">{"Tab1",#N/A,FALSE,"P";"Tab2",#N/A,FALSE,"P"}</definedName>
    <definedName name="pata" localSheetId="15" hidden="1">{"Tab1",#N/A,FALSE,"P";"Tab2",#N/A,FALSE,"P"}</definedName>
    <definedName name="pata" localSheetId="12" hidden="1">{"Tab1",#N/A,FALSE,"P";"Tab2",#N/A,FALSE,"P"}</definedName>
    <definedName name="pata" hidden="1">{"Tab1",#N/A,FALSE,"P";"Tab2",#N/A,FALSE,"P"}</definedName>
    <definedName name="PCPIG">#N/A</definedName>
    <definedName name="Petroecuador" localSheetId="27">#REF!</definedName>
    <definedName name="Petroecuador" localSheetId="28">#REF!</definedName>
    <definedName name="Petroecuador" localSheetId="29">#REF!</definedName>
    <definedName name="Petroecuador">#REF!</definedName>
    <definedName name="pchar00memu.m" localSheetId="27">[33]monthly!#REF!</definedName>
    <definedName name="pchar00memu.m">[34]monthly!#REF!</definedName>
    <definedName name="podatki" localSheetId="27">#REF!</definedName>
    <definedName name="podatki" localSheetId="28">#REF!</definedName>
    <definedName name="podatki" localSheetId="29">#REF!</definedName>
    <definedName name="podatki">#REF!</definedName>
    <definedName name="Ports" localSheetId="27">#REF!</definedName>
    <definedName name="Ports" localSheetId="28">#REF!</definedName>
    <definedName name="Ports" localSheetId="29">#REF!</definedName>
    <definedName name="Ports">#REF!</definedName>
    <definedName name="pp" localSheetId="10" hidden="1">{"Riqfin97",#N/A,FALSE,"Tran";"Riqfinpro",#N/A,FALSE,"Tran"}</definedName>
    <definedName name="pp" localSheetId="14" hidden="1">{"Riqfin97",#N/A,FALSE,"Tran";"Riqfinpro",#N/A,FALSE,"Tran"}</definedName>
    <definedName name="pp" localSheetId="27" hidden="1">{"Riqfin97",#N/A,FALSE,"Tran";"Riqfinpro",#N/A,FALSE,"Tran"}</definedName>
    <definedName name="pp" localSheetId="28" hidden="1">{"Riqfin97",#N/A,FALSE,"Tran";"Riqfinpro",#N/A,FALSE,"Tran"}</definedName>
    <definedName name="pp" localSheetId="29" hidden="1">{"Riqfin97",#N/A,FALSE,"Tran";"Riqfinpro",#N/A,FALSE,"Tran"}</definedName>
    <definedName name="pp" localSheetId="1" hidden="1">{"Riqfin97",#N/A,FALSE,"Tran";"Riqfinpro",#N/A,FALSE,"Tran"}</definedName>
    <definedName name="pp" localSheetId="15" hidden="1">{"Riqfin97",#N/A,FALSE,"Tran";"Riqfinpro",#N/A,FALSE,"Tran"}</definedName>
    <definedName name="pp" localSheetId="12" hidden="1">{"Riqfin97",#N/A,FALSE,"Tran";"Riqfinpro",#N/A,FALSE,"Tran"}</definedName>
    <definedName name="pp" hidden="1">{"Riqfin97",#N/A,FALSE,"Tran";"Riqfinpro",#N/A,FALSE,"Tran"}</definedName>
    <definedName name="ppp" localSheetId="10" hidden="1">{"Riqfin97",#N/A,FALSE,"Tran";"Riqfinpro",#N/A,FALSE,"Tran"}</definedName>
    <definedName name="ppp" localSheetId="14" hidden="1">{"Riqfin97",#N/A,FALSE,"Tran";"Riqfinpro",#N/A,FALSE,"Tran"}</definedName>
    <definedName name="ppp" localSheetId="27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1" hidden="1">{"Riqfin97",#N/A,FALSE,"Tran";"Riqfinpro",#N/A,FALSE,"Tran"}</definedName>
    <definedName name="ppp" localSheetId="15" hidden="1">{"Riqfin97",#N/A,FALSE,"Tran";"Riqfinpro",#N/A,FALSE,"Tran"}</definedName>
    <definedName name="ppp" localSheetId="12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27">#REF!</definedName>
    <definedName name="pri" localSheetId="28">#REF!</definedName>
    <definedName name="pri" localSheetId="29">#REF!</definedName>
    <definedName name="pri">#REF!</definedName>
    <definedName name="Print" localSheetId="27">#REF!</definedName>
    <definedName name="Print" localSheetId="28">#REF!</definedName>
    <definedName name="Print" localSheetId="29">#REF!</definedName>
    <definedName name="Print">#REF!</definedName>
    <definedName name="PRINT1" localSheetId="27">[59]Index!#REF!</definedName>
    <definedName name="PRINT1" localSheetId="28">[59]Index!#REF!</definedName>
    <definedName name="PRINT1" localSheetId="29">[59]Index!#REF!</definedName>
    <definedName name="PRINT1">[59]Index!#REF!</definedName>
    <definedName name="PRINT2" localSheetId="27">[59]Index!#REF!</definedName>
    <definedName name="PRINT2" localSheetId="28">[59]Index!#REF!</definedName>
    <definedName name="PRINT2" localSheetId="29">[59]Index!#REF!</definedName>
    <definedName name="PRINT2">[59]Index!#REF!</definedName>
    <definedName name="PRINT3" localSheetId="27">[59]Index!#REF!</definedName>
    <definedName name="PRINT3" localSheetId="28">[59]Index!#REF!</definedName>
    <definedName name="PRINT3" localSheetId="29">[59]Index!#REF!</definedName>
    <definedName name="PRINT3">[59]Index!#REF!</definedName>
    <definedName name="PrintThis_Links">[46]Links!$A$1:$F$33</definedName>
    <definedName name="profit" localSheetId="27">[6]C!$O$1:$T$1</definedName>
    <definedName name="profit">[21]C!$O$1:$T$1</definedName>
    <definedName name="prorač">[60]Prorač!$A:$IV</definedName>
    <definedName name="PvNee_2">[28]Graf14_Graf15!#REF!</definedName>
    <definedName name="PvNer_2">[28]Graf14_Graf15!#REF!</definedName>
    <definedName name="Q6_" localSheetId="27">#REF!</definedName>
    <definedName name="Q6_" localSheetId="28">#REF!</definedName>
    <definedName name="Q6_" localSheetId="29">#REF!</definedName>
    <definedName name="Q6_">#REF!</definedName>
    <definedName name="QFISCAL" localSheetId="27">'[3]Quarterly Raw Data'!#REF!</definedName>
    <definedName name="QFISCAL" localSheetId="28">'[3]Quarterly Raw Data'!#REF!</definedName>
    <definedName name="QFISCAL" localSheetId="29">'[3]Quarterly Raw Data'!#REF!</definedName>
    <definedName name="QFISCAL">'[3]Quarterly Raw Data'!#REF!</definedName>
    <definedName name="qq" localSheetId="9" hidden="1">'[52]J(Priv.Cap)'!#REF!</definedName>
    <definedName name="qq" localSheetId="10" hidden="1">'[52]J(Priv.Cap)'!#REF!</definedName>
    <definedName name="qq" localSheetId="14" hidden="1">'[52]J(Priv.Cap)'!#REF!</definedName>
    <definedName name="qq" localSheetId="27" hidden="1">'[52]J(Priv.Cap)'!#REF!</definedName>
    <definedName name="qq" localSheetId="1" hidden="1">'[52]J(Priv.Cap)'!#REF!</definedName>
    <definedName name="qq" localSheetId="15" hidden="1">'[52]J(Priv.Cap)'!#REF!</definedName>
    <definedName name="qq" localSheetId="12" hidden="1">'[52]J(Priv.Cap)'!#REF!</definedName>
    <definedName name="qq" hidden="1">'[52]J(Priv.Cap)'!#REF!</definedName>
    <definedName name="qtab_35" localSheetId="27">'[61]i1-CA'!#REF!</definedName>
    <definedName name="qtab_35">'[61]i1-CA'!#REF!</definedName>
    <definedName name="QTAB7" localSheetId="27">'[3]Quarterly MacroFlow'!#REF!</definedName>
    <definedName name="QTAB7">'[3]Quarterly MacroFlow'!#REF!</definedName>
    <definedName name="QTAB7A" localSheetId="27">'[3]Quarterly MacroFlow'!#REF!</definedName>
    <definedName name="QTAB7A">'[3]Quarterly MacroFlow'!#REF!</definedName>
    <definedName name="quest1" localSheetId="27">#REF!</definedName>
    <definedName name="quest1" localSheetId="28">#REF!</definedName>
    <definedName name="quest1" localSheetId="29">#REF!</definedName>
    <definedName name="quest1">#REF!</definedName>
    <definedName name="quest2" localSheetId="27">#REF!</definedName>
    <definedName name="quest2" localSheetId="28">#REF!</definedName>
    <definedName name="quest2" localSheetId="29">#REF!</definedName>
    <definedName name="quest2">#REF!</definedName>
    <definedName name="quest3" localSheetId="27">#REF!</definedName>
    <definedName name="quest3" localSheetId="28">#REF!</definedName>
    <definedName name="quest3" localSheetId="29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REAL">#REF!</definedName>
    <definedName name="REALANNUAL">#REF!</definedName>
    <definedName name="realizacia">[62]Sheet1!$A$1:$I$406</definedName>
    <definedName name="realizacija">[62]Sheet1!$A$1:$I$406</definedName>
    <definedName name="REALNACT" localSheetId="27">#REF!</definedName>
    <definedName name="REALNACT" localSheetId="28">#REF!</definedName>
    <definedName name="REALNACT" localSheetId="29">#REF!</definedName>
    <definedName name="REALNACT">#REF!</definedName>
    <definedName name="red_26" localSheetId="27">#REF!</definedName>
    <definedName name="red_26" localSheetId="28">#REF!</definedName>
    <definedName name="red_26" localSheetId="29">#REF!</definedName>
    <definedName name="red_26">#REF!</definedName>
    <definedName name="red_33" localSheetId="27">#REF!</definedName>
    <definedName name="red_33" localSheetId="28">#REF!</definedName>
    <definedName name="red_33" localSheetId="29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 localSheetId="27">[6]REER!$AZ$144:$AZ$206</definedName>
    <definedName name="REERCPI">[21]REER!$AZ$144:$AZ$206</definedName>
    <definedName name="REERPPI" localSheetId="27">[6]REER!$BB$144:$BB$206</definedName>
    <definedName name="REERPPI">[21]REER!$BB$144:$BB$206</definedName>
    <definedName name="RefVintage">[31]readme!$B$4</definedName>
    <definedName name="REGISTERALL" localSheetId="27">#REF!</definedName>
    <definedName name="REGISTERALL" localSheetId="28">#REF!</definedName>
    <definedName name="REGISTERALL" localSheetId="29">#REF!</definedName>
    <definedName name="REGISTERALL">#REF!</definedName>
    <definedName name="RFSee_2" localSheetId="27">[28]Graf14_Graf15!#REF!</definedName>
    <definedName name="RFSee_2" localSheetId="28">[28]Graf14_Graf15!#REF!</definedName>
    <definedName name="RFSee_2" localSheetId="29">[28]Graf14_Graf15!#REF!</definedName>
    <definedName name="RFSee_2">[28]Graf14_Graf15!#REF!</definedName>
    <definedName name="RFSer_2" localSheetId="27">[28]Graf14_Graf15!#REF!</definedName>
    <definedName name="RFSer_2" localSheetId="28">[28]Graf14_Graf15!#REF!</definedName>
    <definedName name="RFSer_2" localSheetId="29">[28]Graf14_Graf15!#REF!</definedName>
    <definedName name="RFSer_2">[28]Graf14_Graf15!#REF!</definedName>
    <definedName name="RGDPA" localSheetId="27">#REF!</definedName>
    <definedName name="RGDPA" localSheetId="28">#REF!</definedName>
    <definedName name="RGDPA" localSheetId="29">#REF!</definedName>
    <definedName name="RGDPA">#REF!</definedName>
    <definedName name="RgFdPartCsource" localSheetId="27">#REF!</definedName>
    <definedName name="RgFdPartCsource" localSheetId="28">#REF!</definedName>
    <definedName name="RgFdPartCsource" localSheetId="29">#REF!</definedName>
    <definedName name="RgFdPartCsource">#REF!</definedName>
    <definedName name="RgFdPartEseries" localSheetId="27">#REF!</definedName>
    <definedName name="RgFdPartEseries" localSheetId="28">#REF!</definedName>
    <definedName name="RgFdPartEseries" localSheetId="29">#REF!</definedName>
    <definedName name="RgFdPartEseries">#REF!</definedName>
    <definedName name="RgFdPartEsource" localSheetId="27">#REF!</definedName>
    <definedName name="RgFdPartEsource">#REF!</definedName>
    <definedName name="RgFdReptCSeries" localSheetId="27">#REF!</definedName>
    <definedName name="RgFdReptCSeries">#REF!</definedName>
    <definedName name="RgFdReptCsource" localSheetId="27">#REF!</definedName>
    <definedName name="RgFdReptCsource">#REF!</definedName>
    <definedName name="RgFdReptEseries" localSheetId="27">#REF!</definedName>
    <definedName name="RgFdReptEseries">#REF!</definedName>
    <definedName name="RgFdReptEsource" localSheetId="27">#REF!</definedName>
    <definedName name="RgFdReptEsource">#REF!</definedName>
    <definedName name="RgFdSAMethod" localSheetId="27">#REF!</definedName>
    <definedName name="RgFdSAMethod">#REF!</definedName>
    <definedName name="RgFdTbBper" localSheetId="27">#REF!</definedName>
    <definedName name="RgFdTbBper">#REF!</definedName>
    <definedName name="RgFdTbCreate" localSheetId="27">#REF!</definedName>
    <definedName name="RgFdTbCreate">#REF!</definedName>
    <definedName name="RgFdTbEper" localSheetId="27">#REF!</definedName>
    <definedName name="RgFdTbEper">#REF!</definedName>
    <definedName name="RGFdTbFoot" localSheetId="27">#REF!</definedName>
    <definedName name="RGFdTbFoot">#REF!</definedName>
    <definedName name="RgFdTbFreq" localSheetId="27">#REF!</definedName>
    <definedName name="RgFdTbFreq">#REF!</definedName>
    <definedName name="RgFdTbFreqVal" localSheetId="27">#REF!</definedName>
    <definedName name="RgFdTbFreqVal">#REF!</definedName>
    <definedName name="RgFdTbSendto" localSheetId="27">#REF!</definedName>
    <definedName name="RgFdTbSendto">#REF!</definedName>
    <definedName name="RgFdWgtMethod" localSheetId="27">#REF!</definedName>
    <definedName name="RgFdWgtMethod">#REF!</definedName>
    <definedName name="RGSPA" localSheetId="27">#REF!</definedName>
    <definedName name="RGSPA">#REF!</definedName>
    <definedName name="rngBefore">[46]Main!$AB$26</definedName>
    <definedName name="rngDepartmentDrive">[46]Main!$AB$23</definedName>
    <definedName name="rngEMailAddress">[46]Main!$AB$20</definedName>
    <definedName name="rngErrorSort">[46]ErrCheck!$A$4</definedName>
    <definedName name="rngLastSave">[46]Main!$G$19</definedName>
    <definedName name="rngLastSent">[46]Main!$G$18</definedName>
    <definedName name="rngLastUpdate">[46]Links!$D$2</definedName>
    <definedName name="rngNeedsUpdate">[46]Links!$E$2</definedName>
    <definedName name="rngNews">[46]Main!$AB$27</definedName>
    <definedName name="rngQuestChecked">[46]ErrCheck!$A$3</definedName>
    <definedName name="rounding">[28]Graf14_Graf15!#REF!</definedName>
    <definedName name="rr" localSheetId="10" hidden="1">{"Riqfin97",#N/A,FALSE,"Tran";"Riqfinpro",#N/A,FALSE,"Tran"}</definedName>
    <definedName name="rr" localSheetId="14" hidden="1">{"Riqfin97",#N/A,FALSE,"Tran";"Riqfinpro",#N/A,FALSE,"Tran"}</definedName>
    <definedName name="rr" localSheetId="27" hidden="1">{"Riqfin97",#N/A,FALSE,"Tran";"Riqfinpro",#N/A,FALSE,"Tran"}</definedName>
    <definedName name="rr" localSheetId="28" hidden="1">{"Riqfin97",#N/A,FALSE,"Tran";"Riqfinpro",#N/A,FALSE,"Tran"}</definedName>
    <definedName name="rr" localSheetId="29" hidden="1">{"Riqfin97",#N/A,FALSE,"Tran";"Riqfinpro",#N/A,FALSE,"Tran"}</definedName>
    <definedName name="rr" localSheetId="1" hidden="1">{"Riqfin97",#N/A,FALSE,"Tran";"Riqfinpro",#N/A,FALSE,"Tran"}</definedName>
    <definedName name="rr" localSheetId="15" hidden="1">{"Riqfin97",#N/A,FALSE,"Tran";"Riqfinpro",#N/A,FALSE,"Tran"}</definedName>
    <definedName name="rr" localSheetId="12" hidden="1">{"Riqfin97",#N/A,FALSE,"Tran";"Riqfinpro",#N/A,FALSE,"Tran"}</definedName>
    <definedName name="rr" hidden="1">{"Riqfin97",#N/A,FALSE,"Tran";"Riqfinpro",#N/A,FALSE,"Tran"}</definedName>
    <definedName name="rrr" localSheetId="10" hidden="1">{"Riqfin97",#N/A,FALSE,"Tran";"Riqfinpro",#N/A,FALSE,"Tran"}</definedName>
    <definedName name="rrr" localSheetId="14" hidden="1">{"Riqfin97",#N/A,FALSE,"Tran";"Riqfinpro",#N/A,FALSE,"Tran"}</definedName>
    <definedName name="rrr" localSheetId="27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1" hidden="1">{"Riqfin97",#N/A,FALSE,"Tran";"Riqfinpro",#N/A,FALSE,"Tran"}</definedName>
    <definedName name="rrr" localSheetId="15" hidden="1">{"Riqfin97",#N/A,FALSE,"Tran";"Riqfinpro",#N/A,FALSE,"Tran"}</definedName>
    <definedName name="rrr" localSheetId="12" hidden="1">{"Riqfin97",#N/A,FALSE,"Tran";"Riqfinpro",#N/A,FALSE,"Tran"}</definedName>
    <definedName name="rrr" hidden="1">{"Riqfin97",#N/A,FALSE,"Tran";"Riqfinpro",#N/A,FALSE,"Tran"}</definedName>
    <definedName name="RULCPPI" localSheetId="27">[6]C!$O$9:$O$71</definedName>
    <definedName name="RULCPPI">[21]C!$O$9:$O$71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27">#REF!</definedName>
    <definedName name="SECTORS" localSheetId="28">#REF!</definedName>
    <definedName name="SECTORS" localSheetId="29">#REF!</definedName>
    <definedName name="SECTORS">#REF!</definedName>
    <definedName name="seitable" localSheetId="27">'[63]Sel. Ind. Tbl'!$A$3:$G$75</definedName>
    <definedName name="seitable">'[64]Sel. Ind. Tbl'!$A$3:$G$75</definedName>
    <definedName name="sencount" hidden="1">2</definedName>
    <definedName name="SPee_2" localSheetId="27">[28]Graf14_Graf15!#REF!</definedName>
    <definedName name="SPee_2" localSheetId="28">[28]Graf14_Graf15!#REF!</definedName>
    <definedName name="SPee_2" localSheetId="29">[28]Graf14_Graf15!#REF!</definedName>
    <definedName name="SPee_2">[28]Graf14_Graf15!#REF!</definedName>
    <definedName name="SPer_2" localSheetId="27">[28]Graf14_Graf15!#REF!</definedName>
    <definedName name="SPer_2" localSheetId="28">[28]Graf14_Graf15!#REF!</definedName>
    <definedName name="SPer_2" localSheetId="29">[28]Graf14_Graf15!#REF!</definedName>
    <definedName name="SPer_2">[28]Graf14_Graf15!#REF!</definedName>
    <definedName name="SprejetiProracun" localSheetId="27">#REF!</definedName>
    <definedName name="SprejetiProracun" localSheetId="28">#REF!</definedName>
    <definedName name="SprejetiProracun" localSheetId="29">#REF!</definedName>
    <definedName name="SprejetiProracun">#REF!</definedName>
    <definedName name="SR_3" localSheetId="27">#REF!</definedName>
    <definedName name="SR_3" localSheetId="28">#REF!</definedName>
    <definedName name="SR_3" localSheetId="29">#REF!</definedName>
    <definedName name="SR_3">#REF!</definedName>
    <definedName name="SR_5" localSheetId="27">#REF!</definedName>
    <definedName name="SR_5" localSheetId="28">#REF!</definedName>
    <definedName name="SR_5" localSheetId="29">#REF!</definedName>
    <definedName name="SR_5">#REF!</definedName>
    <definedName name="SS">[65]IMATA!$B$45:$B$108</definedName>
    <definedName name="StatusTable">[31]readme!$A$12:$B$21</definedName>
    <definedName name="T1.13" localSheetId="27">#REF!</definedName>
    <definedName name="T1.13" localSheetId="28">#REF!</definedName>
    <definedName name="T1.13" localSheetId="29">#REF!</definedName>
    <definedName name="T1.13">#REF!</definedName>
    <definedName name="t2q" localSheetId="27">#REF!</definedName>
    <definedName name="t2q" localSheetId="28">#REF!</definedName>
    <definedName name="t2q" localSheetId="29">#REF!</definedName>
    <definedName name="t2q">#REF!</definedName>
    <definedName name="TAB1A" localSheetId="27">#REF!</definedName>
    <definedName name="TAB1A" localSheetId="28">#REF!</definedName>
    <definedName name="TAB1A" localSheetId="29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 localSheetId="27">'[3]Annual Tables'!#REF!</definedName>
    <definedName name="TAB6A">'[3]Annual Tables'!#REF!</definedName>
    <definedName name="TAB6B" localSheetId="27">'[3]Annual Tables'!#REF!</definedName>
    <definedName name="TAB6B">'[3]Annual Tables'!#REF!</definedName>
    <definedName name="TAB6C" localSheetId="27">#REF!</definedName>
    <definedName name="TAB6C" localSheetId="28">#REF!</definedName>
    <definedName name="TAB6C" localSheetId="29">#REF!</definedName>
    <definedName name="TAB6C">#REF!</definedName>
    <definedName name="TAB7A" localSheetId="27">#REF!</definedName>
    <definedName name="TAB7A" localSheetId="28">#REF!</definedName>
    <definedName name="TAB7A" localSheetId="29">#REF!</definedName>
    <definedName name="TAB7A">#REF!</definedName>
    <definedName name="tabC1" localSheetId="27">#REF!</definedName>
    <definedName name="tabC1" localSheetId="28">#REF!</definedName>
    <definedName name="tabC1" localSheetId="29">#REF!</definedName>
    <definedName name="tabC1">#REF!</definedName>
    <definedName name="tabC2">#REF!</definedName>
    <definedName name="Tabela_6a">#REF!</definedName>
    <definedName name="tabela3a" localSheetId="27">'[66]Table 1'!#REF!</definedName>
    <definedName name="tabela3a">'[66]Table 1'!#REF!</definedName>
    <definedName name="Tabelaxx" localSheetId="27">#REF!</definedName>
    <definedName name="Tabelaxx" localSheetId="28">#REF!</definedName>
    <definedName name="Tabelaxx" localSheetId="29">#REF!</definedName>
    <definedName name="Tabelaxx">#REF!</definedName>
    <definedName name="tabF" localSheetId="27">#REF!</definedName>
    <definedName name="tabF" localSheetId="28">#REF!</definedName>
    <definedName name="tabF" localSheetId="29">#REF!</definedName>
    <definedName name="tabF">#REF!</definedName>
    <definedName name="tabH" localSheetId="27">#REF!</definedName>
    <definedName name="tabH" localSheetId="28">#REF!</definedName>
    <definedName name="tabH" localSheetId="29">#REF!</definedName>
    <definedName name="tabH">#REF!</definedName>
    <definedName name="tabI">#REF!</definedName>
    <definedName name="Table__47">[67]RED47!$A$1:$I$53</definedName>
    <definedName name="Table_2._Country_X___Public_Sector_Financing_1" localSheetId="27">#REF!</definedName>
    <definedName name="Table_2._Country_X___Public_Sector_Financing_1" localSheetId="28">#REF!</definedName>
    <definedName name="Table_2._Country_X___Public_Sector_Financing_1" localSheetId="29">#REF!</definedName>
    <definedName name="Table_2._Country_X___Public_Sector_Financing_1">#REF!</definedName>
    <definedName name="Table_4SR" localSheetId="27">#REF!</definedName>
    <definedName name="Table_4SR" localSheetId="28">#REF!</definedName>
    <definedName name="Table_4SR" localSheetId="29">#REF!</definedName>
    <definedName name="Table_4SR">#REF!</definedName>
    <definedName name="Table_debt">[68]Table!$A$3:$AB$73</definedName>
    <definedName name="TABLE1" localSheetId="27">#REF!</definedName>
    <definedName name="TABLE1" localSheetId="28">#REF!</definedName>
    <definedName name="TABLE1" localSheetId="29">#REF!</definedName>
    <definedName name="TABLE1">#REF!</definedName>
    <definedName name="Table1printarea" localSheetId="27">#REF!</definedName>
    <definedName name="Table1printarea" localSheetId="28">#REF!</definedName>
    <definedName name="Table1printarea" localSheetId="29">#REF!</definedName>
    <definedName name="Table1printarea">#REF!</definedName>
    <definedName name="table30" localSheetId="27">#REF!</definedName>
    <definedName name="table30" localSheetId="28">#REF!</definedName>
    <definedName name="table30" localSheetId="29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 localSheetId="27">#REF!</definedName>
    <definedName name="table6">#REF!</definedName>
    <definedName name="table9" localSheetId="27">#REF!</definedName>
    <definedName name="table9">#REF!</definedName>
    <definedName name="TAME">#REF!</definedName>
    <definedName name="Tbl_GFN">[68]Table_GEF!$B$2:$T$53</definedName>
    <definedName name="tblChecks">[46]ErrCheck!$A$3:$E$5</definedName>
    <definedName name="tblLinks">[46]Links!$A$4:$F$33</definedName>
    <definedName name="TEMP" localSheetId="27">[69]Data!#REF!</definedName>
    <definedName name="TEMP" localSheetId="28">[69]Data!#REF!</definedName>
    <definedName name="TEMP" localSheetId="29">[69]Data!#REF!</definedName>
    <definedName name="TEMP">[69]Data!#REF!</definedName>
    <definedName name="tempo_kles" localSheetId="27">[28]Graf14_Graf15!#REF!</definedName>
    <definedName name="tempo_kles" localSheetId="28">[28]Graf14_Graf15!#REF!</definedName>
    <definedName name="tempo_kles" localSheetId="29">[28]Graf14_Graf15!#REF!</definedName>
    <definedName name="tempo_kles">[28]Graf14_Graf15!#REF!</definedName>
    <definedName name="tempo_kles_2" localSheetId="27">[28]Graf14_Graf15!#REF!</definedName>
    <definedName name="tempo_kles_2" localSheetId="28">[28]Graf14_Graf15!#REF!</definedName>
    <definedName name="tempo_kles_2" localSheetId="29">[28]Graf14_Graf15!#REF!</definedName>
    <definedName name="tempo_kles_2">[28]Graf14_Graf15!#REF!</definedName>
    <definedName name="text" localSheetId="27" hidden="1">{#N/A,#N/A,FALSE,"CB";#N/A,#N/A,FALSE,"CMB";#N/A,#N/A,FALSE,"BSYS";#N/A,#N/A,FALSE,"NBFI";#N/A,#N/A,FALSE,"FSYS"}</definedName>
    <definedName name="text" localSheetId="28" hidden="1">{#N/A,#N/A,FALSE,"CB";#N/A,#N/A,FALSE,"CMB";#N/A,#N/A,FALSE,"BSYS";#N/A,#N/A,FALSE,"NBFI";#N/A,#N/A,FALSE,"FSYS"}</definedName>
    <definedName name="text" localSheetId="29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[27]Q5!$E$23:$AH$23</definedName>
    <definedName name="TMGO">#N/A</definedName>
    <definedName name="TOWEO" localSheetId="27">#REF!</definedName>
    <definedName name="TOWEO" localSheetId="28">#REF!</definedName>
    <definedName name="TOWEO" localSheetId="29">#REF!</definedName>
    <definedName name="TOWEO">#REF!</definedName>
    <definedName name="TRADE3" localSheetId="27">[1]Trade!#REF!</definedName>
    <definedName name="TRADE3">[1]Trade!#REF!</definedName>
    <definedName name="trans" localSheetId="27">#REF!</definedName>
    <definedName name="trans" localSheetId="28">#REF!</definedName>
    <definedName name="trans" localSheetId="29">#REF!</definedName>
    <definedName name="trans">#REF!</definedName>
    <definedName name="Transfer_check" localSheetId="27">#REF!</definedName>
    <definedName name="Transfer_check" localSheetId="28">#REF!</definedName>
    <definedName name="Transfer_check" localSheetId="29">#REF!</definedName>
    <definedName name="Transfer_check">#REF!</definedName>
    <definedName name="TRANSNAVE" localSheetId="27">#REF!</definedName>
    <definedName name="TRANSNAVE" localSheetId="28">#REF!</definedName>
    <definedName name="TRANSNAVE" localSheetId="29">#REF!</definedName>
    <definedName name="TRANSNAVE">#REF!</definedName>
    <definedName name="tt" localSheetId="10" hidden="1">{"Tab1",#N/A,FALSE,"P";"Tab2",#N/A,FALSE,"P"}</definedName>
    <definedName name="tt" localSheetId="14" hidden="1">{"Tab1",#N/A,FALSE,"P";"Tab2",#N/A,FALSE,"P"}</definedName>
    <definedName name="tt" localSheetId="27" hidden="1">{"Tab1",#N/A,FALSE,"P";"Tab2",#N/A,FALSE,"P"}</definedName>
    <definedName name="tt" localSheetId="28" hidden="1">{"Tab1",#N/A,FALSE,"P";"Tab2",#N/A,FALSE,"P"}</definedName>
    <definedName name="tt" localSheetId="29" hidden="1">{"Tab1",#N/A,FALSE,"P";"Tab2",#N/A,FALSE,"P"}</definedName>
    <definedName name="tt" localSheetId="1" hidden="1">{"Tab1",#N/A,FALSE,"P";"Tab2",#N/A,FALSE,"P"}</definedName>
    <definedName name="tt" localSheetId="15" hidden="1">{"Tab1",#N/A,FALSE,"P";"Tab2",#N/A,FALSE,"P"}</definedName>
    <definedName name="tt" localSheetId="12" hidden="1">{"Tab1",#N/A,FALSE,"P";"Tab2",#N/A,FALSE,"P"}</definedName>
    <definedName name="tt" hidden="1">{"Tab1",#N/A,FALSE,"P";"Tab2",#N/A,FALSE,"P"}</definedName>
    <definedName name="ttt" localSheetId="10" hidden="1">{"Tab1",#N/A,FALSE,"P";"Tab2",#N/A,FALSE,"P"}</definedName>
    <definedName name="ttt" localSheetId="14" hidden="1">{"Tab1",#N/A,FALSE,"P";"Tab2",#N/A,FALSE,"P"}</definedName>
    <definedName name="ttt" localSheetId="27" hidden="1">{"Tab1",#N/A,FALSE,"P";"Tab2",#N/A,FALSE,"P"}</definedName>
    <definedName name="ttt" localSheetId="28" hidden="1">{"Tab1",#N/A,FALSE,"P";"Tab2",#N/A,FALSE,"P"}</definedName>
    <definedName name="ttt" localSheetId="29" hidden="1">{"Tab1",#N/A,FALSE,"P";"Tab2",#N/A,FALSE,"P"}</definedName>
    <definedName name="ttt" localSheetId="1" hidden="1">{"Tab1",#N/A,FALSE,"P";"Tab2",#N/A,FALSE,"P"}</definedName>
    <definedName name="ttt" localSheetId="15" hidden="1">{"Tab1",#N/A,FALSE,"P";"Tab2",#N/A,FALSE,"P"}</definedName>
    <definedName name="ttt" localSheetId="12" hidden="1">{"Tab1",#N/A,FALSE,"P";"Tab2",#N/A,FALSE,"P"}</definedName>
    <definedName name="ttt" hidden="1">{"Tab1",#N/A,FALSE,"P";"Tab2",#N/A,FALSE,"P"}</definedName>
    <definedName name="ttttt" localSheetId="9" hidden="1">[56]M!#REF!</definedName>
    <definedName name="ttttt" localSheetId="14" hidden="1">[56]M!#REF!</definedName>
    <definedName name="ttttt" localSheetId="27" hidden="1">[56]M!#REF!</definedName>
    <definedName name="ttttt" hidden="1">[56]M!#REF!</definedName>
    <definedName name="TTTTTTTTTTTT" localSheetId="27">'Graf 29 + 30'!TTTTTTTTTTTT</definedName>
    <definedName name="TTTTTTTTTTTT">[22]!TTTTTTTTTTTT</definedName>
    <definedName name="TXG_D">#N/A</definedName>
    <definedName name="TXGO">#N/A</definedName>
    <definedName name="u163lnulcm_x_et.m" localSheetId="27">[33]monthly!#REF!</definedName>
    <definedName name="u163lnulcm_x_et.m" localSheetId="28">[34]monthly!#REF!</definedName>
    <definedName name="u163lnulcm_x_et.m" localSheetId="29">[34]monthly!#REF!</definedName>
    <definedName name="u163lnulcm_x_et.m">[34]monthly!#REF!</definedName>
    <definedName name="UB_2">[51]makro!$C$14</definedName>
    <definedName name="UB_2n">[51]makro!$C$36</definedName>
    <definedName name="UB_3">[51]makro!$D$14</definedName>
    <definedName name="UB_3n">[51]makro!$D$36</definedName>
    <definedName name="UB_4">[51]makro!$E$14</definedName>
    <definedName name="UB_4n">[51]makro!$E$36</definedName>
    <definedName name="UB_5">[51]makro!$F$14</definedName>
    <definedName name="UB_5n">[51]makro!$F$36</definedName>
    <definedName name="UB_6">[51]makro!$G$14</definedName>
    <definedName name="UB_6n">[51]makro!$G$36</definedName>
    <definedName name="ULC_CZ" localSheetId="27">[6]REER!$BU$144:$BU$206</definedName>
    <definedName name="ULC_CZ">[21]REER!$BU$144:$BU$206</definedName>
    <definedName name="ULC_PART" localSheetId="27">[6]REER!$BR$144:$BR$206</definedName>
    <definedName name="ULC_PART">[21]REER!$BR$144:$BR$206</definedName>
    <definedName name="Universities" localSheetId="27">#REF!</definedName>
    <definedName name="Universities" localSheetId="28">#REF!</definedName>
    <definedName name="Universities" localSheetId="29">#REF!</definedName>
    <definedName name="Universities">#REF!</definedName>
    <definedName name="UPee_2" localSheetId="27">[28]Graf14_Graf15!#REF!</definedName>
    <definedName name="UPee_2" localSheetId="28">[28]Graf14_Graf15!#REF!</definedName>
    <definedName name="UPee_2" localSheetId="29">[28]Graf14_Graf15!#REF!</definedName>
    <definedName name="UPee_2">[28]Graf14_Graf15!#REF!</definedName>
    <definedName name="UPer_2" localSheetId="27">[28]Graf14_Graf15!#REF!</definedName>
    <definedName name="UPer_2" localSheetId="28">[28]Graf14_Graf15!#REF!</definedName>
    <definedName name="UPer_2" localSheetId="29">[28]Graf14_Graf15!#REF!</definedName>
    <definedName name="UPer_2">[28]Graf14_Graf15!#REF!</definedName>
    <definedName name="Uruguay">'[70]PDR vulnerability table'!$A$3:$E$65</definedName>
    <definedName name="USERNAME" localSheetId="27">#REF!</definedName>
    <definedName name="USERNAME" localSheetId="28">#REF!</definedName>
    <definedName name="USERNAME" localSheetId="29">#REF!</definedName>
    <definedName name="USERNAME">#REF!</definedName>
    <definedName name="uu" localSheetId="10" hidden="1">{"Riqfin97",#N/A,FALSE,"Tran";"Riqfinpro",#N/A,FALSE,"Tran"}</definedName>
    <definedName name="uu" localSheetId="14" hidden="1">{"Riqfin97",#N/A,FALSE,"Tran";"Riqfinpro",#N/A,FALSE,"Tran"}</definedName>
    <definedName name="uu" localSheetId="27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1" hidden="1">{"Riqfin97",#N/A,FALSE,"Tran";"Riqfinpro",#N/A,FALSE,"Tran"}</definedName>
    <definedName name="uu" localSheetId="15" hidden="1">{"Riqfin97",#N/A,FALSE,"Tran";"Riqfinpro",#N/A,FALSE,"Tran"}</definedName>
    <definedName name="uu" localSheetId="12" hidden="1">{"Riqfin97",#N/A,FALSE,"Tran";"Riqfinpro",#N/A,FALSE,"Tran"}</definedName>
    <definedName name="uu" hidden="1">{"Riqfin97",#N/A,FALSE,"Tran";"Riqfinpro",#N/A,FALSE,"Tran"}</definedName>
    <definedName name="uuu" localSheetId="10" hidden="1">{"Riqfin97",#N/A,FALSE,"Tran";"Riqfinpro",#N/A,FALSE,"Tran"}</definedName>
    <definedName name="uuu" localSheetId="14" hidden="1">{"Riqfin97",#N/A,FALSE,"Tran";"Riqfinpro",#N/A,FALSE,"Tran"}</definedName>
    <definedName name="uuu" localSheetId="27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1" hidden="1">{"Riqfin97",#N/A,FALSE,"Tran";"Riqfinpro",#N/A,FALSE,"Tran"}</definedName>
    <definedName name="uuu" localSheetId="15" hidden="1">{"Riqfin97",#N/A,FALSE,"Tran";"Riqfinpro",#N/A,FALSE,"Tran"}</definedName>
    <definedName name="uuu" localSheetId="12" hidden="1">{"Riqfin97",#N/A,FALSE,"Tran";"Riqfinpro",#N/A,FALSE,"Tran"}</definedName>
    <definedName name="uuu" hidden="1">{"Riqfin97",#N/A,FALSE,"Tran";"Riqfinpro",#N/A,FALSE,"Tran"}</definedName>
    <definedName name="UUUUUUUUUUU" localSheetId="27">'Graf 29 + 30'!UUUUUUUUUUU</definedName>
    <definedName name="UUUUUUUUUUU">[22]!UUUUUUUUUUU</definedName>
    <definedName name="ValidationList" localSheetId="27">#REF!</definedName>
    <definedName name="ValidationList" localSheetId="28">#REF!</definedName>
    <definedName name="ValidationList" localSheetId="29">#REF!</definedName>
    <definedName name="ValidationList">#REF!</definedName>
    <definedName name="VeljavniProracun" localSheetId="27">#REF!</definedName>
    <definedName name="VeljavniProracun" localSheetId="28">#REF!</definedName>
    <definedName name="VeljavniProracun" localSheetId="29">#REF!</definedName>
    <definedName name="VeljavniProracun">#REF!</definedName>
    <definedName name="Venezuela" localSheetId="27">#REF!</definedName>
    <definedName name="Venezuela" localSheetId="28">#REF!</definedName>
    <definedName name="Venezuela" localSheetId="29">#REF!</definedName>
    <definedName name="Venezuela">#REF!</definedName>
    <definedName name="vv" localSheetId="10" hidden="1">{"Tab1",#N/A,FALSE,"P";"Tab2",#N/A,FALSE,"P"}</definedName>
    <definedName name="vv" localSheetId="14" hidden="1">{"Tab1",#N/A,FALSE,"P";"Tab2",#N/A,FALSE,"P"}</definedName>
    <definedName name="vv" localSheetId="27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1" hidden="1">{"Tab1",#N/A,FALSE,"P";"Tab2",#N/A,FALSE,"P"}</definedName>
    <definedName name="vv" localSheetId="15" hidden="1">{"Tab1",#N/A,FALSE,"P";"Tab2",#N/A,FALSE,"P"}</definedName>
    <definedName name="vv" localSheetId="12" hidden="1">{"Tab1",#N/A,FALSE,"P";"Tab2",#N/A,FALSE,"P"}</definedName>
    <definedName name="vv" hidden="1">{"Tab1",#N/A,FALSE,"P";"Tab2",#N/A,FALSE,"P"}</definedName>
    <definedName name="vvv" localSheetId="10" hidden="1">{"Tab1",#N/A,FALSE,"P";"Tab2",#N/A,FALSE,"P"}</definedName>
    <definedName name="vvv" localSheetId="14" hidden="1">{"Tab1",#N/A,FALSE,"P";"Tab2",#N/A,FALSE,"P"}</definedName>
    <definedName name="vvv" localSheetId="27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1" hidden="1">{"Tab1",#N/A,FALSE,"P";"Tab2",#N/A,FALSE,"P"}</definedName>
    <definedName name="vvv" localSheetId="15" hidden="1">{"Tab1",#N/A,FALSE,"P";"Tab2",#N/A,FALSE,"P"}</definedName>
    <definedName name="vvv" localSheetId="12" hidden="1">{"Tab1",#N/A,FALSE,"P";"Tab2",#N/A,FALSE,"P"}</definedName>
    <definedName name="vvv" hidden="1">{"Tab1",#N/A,FALSE,"P";"Tab2",#N/A,FALSE,"P"}</definedName>
    <definedName name="we11pcpi.m" localSheetId="27">[33]monthly!#REF!</definedName>
    <definedName name="we11pcpi.m">[34]monthly!#REF!</definedName>
    <definedName name="WMENU" localSheetId="27">#REF!</definedName>
    <definedName name="WMENU" localSheetId="28">#REF!</definedName>
    <definedName name="WMENU" localSheetId="29">#REF!</definedName>
    <definedName name="WMENU">#REF!</definedName>
    <definedName name="wrn.1993_2002." localSheetId="27" hidden="1">{"1993_2002",#N/A,FALSE,"UnderlyingData"}</definedName>
    <definedName name="wrn.1993_2002." localSheetId="28" hidden="1">{"1993_2002",#N/A,FALSE,"UnderlyingData"}</definedName>
    <definedName name="wrn.1993_2002." localSheetId="29" hidden="1">{"1993_2002",#N/A,FALSE,"UnderlyingData"}</definedName>
    <definedName name="wrn.1993_2002." hidden="1">{"1993_2002",#N/A,FALSE,"UnderlyingData"}</definedName>
    <definedName name="wrn.a11._.general._.government." localSheetId="27" hidden="1">{"a11 general government",#N/A,FALSE,"RED Tables"}</definedName>
    <definedName name="wrn.a11._.general._.government." localSheetId="28" hidden="1">{"a11 general government",#N/A,FALSE,"RED Tables"}</definedName>
    <definedName name="wrn.a11._.general._.government." localSheetId="29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27" hidden="1">{"a12 Federal Government",#N/A,FALSE,"RED Tables"}</definedName>
    <definedName name="wrn.a12._.Federal._.Government." localSheetId="28" hidden="1">{"a12 Federal Government",#N/A,FALSE,"RED Tables"}</definedName>
    <definedName name="wrn.a12._.Federal._.Government." localSheetId="29" hidden="1">{"a12 Federal Government",#N/A,FALSE,"RED Tables"}</definedName>
    <definedName name="wrn.a12._.Federal._.Government." hidden="1">{"a12 Federal Government",#N/A,FALSE,"RED Tables"}</definedName>
    <definedName name="wrn.a13._.social._.security." localSheetId="27" hidden="1">{"a13 social security",#N/A,FALSE,"RED Tables"}</definedName>
    <definedName name="wrn.a13._.social._.security." localSheetId="28" hidden="1">{"a13 social security",#N/A,FALSE,"RED Tables"}</definedName>
    <definedName name="wrn.a13._.social._.security." localSheetId="29" hidden="1">{"a13 social security",#N/A,FALSE,"RED Tables"}</definedName>
    <definedName name="wrn.a13._.social._.security." hidden="1">{"a13 social security",#N/A,FALSE,"RED Tables"}</definedName>
    <definedName name="wrn.a14._.regions._.and._.communities." localSheetId="27" hidden="1">{"a14 regions and communities",#N/A,FALSE,"RED Tables"}</definedName>
    <definedName name="wrn.a14._.regions._.and._.communities." localSheetId="28" hidden="1">{"a14 regions and communities",#N/A,FALSE,"RED Tables"}</definedName>
    <definedName name="wrn.a14._.regions._.and._.communities." localSheetId="29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27" hidden="1">{"a15 local governments",#N/A,FALSE,"RED Tables"}</definedName>
    <definedName name="wrn.a15._.local._.governments." localSheetId="28" hidden="1">{"a15 local governments",#N/A,FALSE,"RED Tables"}</definedName>
    <definedName name="wrn.a15._.local._.governments." localSheetId="29" hidden="1">{"a15 local governments",#N/A,FALSE,"RED Tables"}</definedName>
    <definedName name="wrn.a15._.local._.governments." hidden="1">{"a15 local governments",#N/A,FALSE,"RED Tables"}</definedName>
    <definedName name="wrn.BOP_MIDTERM." localSheetId="27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hidden="1">{"BOP_TAB",#N/A,FALSE,"N";"MIDTERM_TAB",#N/A,FALSE,"O"}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7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7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29" hidden="1">{#N/A,#N/A,FALSE,"CB";#N/A,#N/A,FALSE,"CMB";#N/A,#N/A,FALSE,"NBFI"}</definedName>
    <definedName name="wrn.MIT." hidden="1">{#N/A,#N/A,FALSE,"CB";#N/A,#N/A,FALSE,"CMB";#N/A,#N/A,FALSE,"NBFI"}</definedName>
    <definedName name="wrn.MONA." localSheetId="27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hidden="1">{"MONA",#N/A,FALSE,"S"}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10" hidden="1">{"Tab1",#N/A,FALSE,"P";"Tab2",#N/A,FALSE,"P"}</definedName>
    <definedName name="wrn.Program." localSheetId="14" hidden="1">{"Tab1",#N/A,FALSE,"P";"Tab2",#N/A,FALSE,"P"}</definedName>
    <definedName name="wrn.Program." localSheetId="27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1" hidden="1">{"Tab1",#N/A,FALSE,"P";"Tab2",#N/A,FALSE,"P"}</definedName>
    <definedName name="wrn.Program." localSheetId="15" hidden="1">{"Tab1",#N/A,FALSE,"P";"Tab2",#N/A,FALSE,"P"}</definedName>
    <definedName name="wrn.Program." localSheetId="12" hidden="1">{"Tab1",#N/A,FALSE,"P";"Tab2",#N/A,FALSE,"P"}</definedName>
    <definedName name="wrn.Program." hidden="1">{"Tab1",#N/A,FALSE,"P";"Tab2",#N/A,FALSE,"P"}</definedName>
    <definedName name="wrn.Ques._.1." localSheetId="27" hidden="1">{"Ques 1",#N/A,FALSE,"NWEO138"}</definedName>
    <definedName name="wrn.Ques._.1." localSheetId="28" hidden="1">{"Ques 1",#N/A,FALSE,"NWEO138"}</definedName>
    <definedName name="wrn.Ques._.1." localSheetId="29" hidden="1">{"Ques 1",#N/A,FALSE,"NWEO138"}</definedName>
    <definedName name="wrn.Ques._.1." hidden="1">{"Ques 1",#N/A,FALSE,"NWEO138"}</definedName>
    <definedName name="wrn.Riqfin." localSheetId="10" hidden="1">{"Riqfin97",#N/A,FALSE,"Tran";"Riqfinpro",#N/A,FALSE,"Tran"}</definedName>
    <definedName name="wrn.Riqfin." localSheetId="14" hidden="1">{"Riqfin97",#N/A,FALSE,"Tran";"Riqfinpro",#N/A,FALSE,"Tran"}</definedName>
    <definedName name="wrn.Riqfin." localSheetId="27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1" hidden="1">{"Riqfin97",#N/A,FALSE,"Tran";"Riqfinpro",#N/A,FALSE,"Tran"}</definedName>
    <definedName name="wrn.Riqfin." localSheetId="15" hidden="1">{"Riqfin97",#N/A,FALSE,"Tran";"Riqfinpro",#N/A,FALSE,"Tran"}</definedName>
    <definedName name="wrn.Riqfin." localSheetId="12" hidden="1">{"Riqfin97",#N/A,FALSE,"Tran";"Riqfinpro",#N/A,FALSE,"Tran"}</definedName>
    <definedName name="wrn.Riqfin." hidden="1">{"Riqfin97",#N/A,FALSE,"Tran";"Riqfinpro",#N/A,FALSE,"Tran"}</definedName>
    <definedName name="wrn.Staff._.Report._.Tables." localSheetId="27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hidden="1">{#N/A,#N/A,FALSE,"SRFSYS";#N/A,#N/A,FALSE,"SRBSYS"}</definedName>
    <definedName name="wrn.WEO." localSheetId="27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hidden="1">{"WEO",#N/A,FALSE,"T"}</definedName>
    <definedName name="ww" localSheetId="14" hidden="1">[56]M!#REF!</definedName>
    <definedName name="ww" localSheetId="27" hidden="1">[56]M!#REF!</definedName>
    <definedName name="ww" hidden="1">[56]M!#REF!</definedName>
    <definedName name="www" localSheetId="10" hidden="1">{"Riqfin97",#N/A,FALSE,"Tran";"Riqfinpro",#N/A,FALSE,"Tran"}</definedName>
    <definedName name="www" localSheetId="14" hidden="1">{"Riqfin97",#N/A,FALSE,"Tran";"Riqfinpro",#N/A,FALSE,"Tran"}</definedName>
    <definedName name="www" localSheetId="27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1" hidden="1">{"Riqfin97",#N/A,FALSE,"Tran";"Riqfinpro",#N/A,FALSE,"Tran"}</definedName>
    <definedName name="www" localSheetId="15" hidden="1">{"Riqfin97",#N/A,FALSE,"Tran";"Riqfinpro",#N/A,FALSE,"Tran"}</definedName>
    <definedName name="www" localSheetId="12" hidden="1">{"Riqfin97",#N/A,FALSE,"Tran";"Riqfinpro",#N/A,FALSE,"Tran"}</definedName>
    <definedName name="www" hidden="1">{"Riqfin97",#N/A,FALSE,"Tran";"Riqfinpro",#N/A,FALSE,"Tran"}</definedName>
    <definedName name="XR" localSheetId="27">[6]REER!$AT$140:$BA$199</definedName>
    <definedName name="XR">[21]REER!$AT$140:$BA$199</definedName>
    <definedName name="xx" localSheetId="10" hidden="1">{"Riqfin97",#N/A,FALSE,"Tran";"Riqfinpro",#N/A,FALSE,"Tran"}</definedName>
    <definedName name="xx" localSheetId="14" hidden="1">{"Riqfin97",#N/A,FALSE,"Tran";"Riqfinpro",#N/A,FALSE,"Tran"}</definedName>
    <definedName name="xx" localSheetId="27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1" hidden="1">{"Riqfin97",#N/A,FALSE,"Tran";"Riqfinpro",#N/A,FALSE,"Tran"}</definedName>
    <definedName name="xx" localSheetId="15" hidden="1">{"Riqfin97",#N/A,FALSE,"Tran";"Riqfinpro",#N/A,FALSE,"Tran"}</definedName>
    <definedName name="xx" localSheetId="12" hidden="1">{"Riqfin97",#N/A,FALSE,"Tran";"Riqfinpro",#N/A,FALSE,"Tran"}</definedName>
    <definedName name="xx" hidden="1">{"Riqfin97",#N/A,FALSE,"Tran";"Riqfinpro",#N/A,FALSE,"Tran"}</definedName>
    <definedName name="xxWRS_1" localSheetId="27">#REF!</definedName>
    <definedName name="xxWRS_1" localSheetId="28">#REF!</definedName>
    <definedName name="xxWRS_1" localSheetId="29">#REF!</definedName>
    <definedName name="xxWRS_1">#REF!</definedName>
    <definedName name="xxWRS_10" localSheetId="27">#REF!</definedName>
    <definedName name="xxWRS_10" localSheetId="28">#REF!</definedName>
    <definedName name="xxWRS_10" localSheetId="29">#REF!</definedName>
    <definedName name="xxWRS_10">#REF!</definedName>
    <definedName name="xxWRS_11" localSheetId="27">#REF!</definedName>
    <definedName name="xxWRS_11" localSheetId="28">#REF!</definedName>
    <definedName name="xxWRS_11" localSheetId="29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x" localSheetId="10" hidden="1">{"Riqfin97",#N/A,FALSE,"Tran";"Riqfinpro",#N/A,FALSE,"Tran"}</definedName>
    <definedName name="xxxx" localSheetId="14" hidden="1">{"Riqfin97",#N/A,FALSE,"Tran";"Riqfinpro",#N/A,FALSE,"Tran"}</definedName>
    <definedName name="xxxx" localSheetId="27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1" hidden="1">{"Riqfin97",#N/A,FALSE,"Tran";"Riqfinpro",#N/A,FALSE,"Tran"}</definedName>
    <definedName name="xxxx" localSheetId="15" hidden="1">{"Riqfin97",#N/A,FALSE,"Tran";"Riqfinpro",#N/A,FALSE,"Tran"}</definedName>
    <definedName name="xxxx" localSheetId="12" hidden="1">{"Riqfin97",#N/A,FALSE,"Tran";"Riqfinpro",#N/A,FALSE,"Tran"}</definedName>
    <definedName name="xxxx" hidden="1">{"Riqfin97",#N/A,FALSE,"Tran";"Riqfinpro",#N/A,FALSE,"Tran"}</definedName>
    <definedName name="year">[28]Graf14_Graf15!#REF!</definedName>
    <definedName name="yy" localSheetId="10" hidden="1">{"Tab1",#N/A,FALSE,"P";"Tab2",#N/A,FALSE,"P"}</definedName>
    <definedName name="yy" localSheetId="14" hidden="1">{"Tab1",#N/A,FALSE,"P";"Tab2",#N/A,FALSE,"P"}</definedName>
    <definedName name="yy" localSheetId="27" hidden="1">{"Tab1",#N/A,FALSE,"P";"Tab2",#N/A,FALSE,"P"}</definedName>
    <definedName name="yy" localSheetId="28" hidden="1">{"Tab1",#N/A,FALSE,"P";"Tab2",#N/A,FALSE,"P"}</definedName>
    <definedName name="yy" localSheetId="29" hidden="1">{"Tab1",#N/A,FALSE,"P";"Tab2",#N/A,FALSE,"P"}</definedName>
    <definedName name="yy" localSheetId="1" hidden="1">{"Tab1",#N/A,FALSE,"P";"Tab2",#N/A,FALSE,"P"}</definedName>
    <definedName name="yy" localSheetId="15" hidden="1">{"Tab1",#N/A,FALSE,"P";"Tab2",#N/A,FALSE,"P"}</definedName>
    <definedName name="yy" localSheetId="12" hidden="1">{"Tab1",#N/A,FALSE,"P";"Tab2",#N/A,FALSE,"P"}</definedName>
    <definedName name="yy" hidden="1">{"Tab1",#N/A,FALSE,"P";"Tab2",#N/A,FALSE,"P"}</definedName>
    <definedName name="yyy" localSheetId="10" hidden="1">{"Tab1",#N/A,FALSE,"P";"Tab2",#N/A,FALSE,"P"}</definedName>
    <definedName name="yyy" localSheetId="14" hidden="1">{"Tab1",#N/A,FALSE,"P";"Tab2",#N/A,FALSE,"P"}</definedName>
    <definedName name="yyy" localSheetId="27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1" hidden="1">{"Tab1",#N/A,FALSE,"P";"Tab2",#N/A,FALSE,"P"}</definedName>
    <definedName name="yyy" localSheetId="15" hidden="1">{"Tab1",#N/A,FALSE,"P";"Tab2",#N/A,FALSE,"P"}</definedName>
    <definedName name="yyy" localSheetId="12" hidden="1">{"Tab1",#N/A,FALSE,"P";"Tab2",#N/A,FALSE,"P"}</definedName>
    <definedName name="yyy" hidden="1">{"Tab1",#N/A,FALSE,"P";"Tab2",#N/A,FALSE,"P"}</definedName>
    <definedName name="yyyy" localSheetId="10" hidden="1">{"Riqfin97",#N/A,FALSE,"Tran";"Riqfinpro",#N/A,FALSE,"Tran"}</definedName>
    <definedName name="yyyy" localSheetId="14" hidden="1">{"Riqfin97",#N/A,FALSE,"Tran";"Riqfinpro",#N/A,FALSE,"Tran"}</definedName>
    <definedName name="yyyy" localSheetId="27" hidden="1">{"Riqfin97",#N/A,FALSE,"Tran";"Riqfinpro",#N/A,FALSE,"Tran"}</definedName>
    <definedName name="yyyy" localSheetId="28" hidden="1">{"Riqfin97",#N/A,FALSE,"Tran";"Riqfinpro",#N/A,FALSE,"Tran"}</definedName>
    <definedName name="yyyy" localSheetId="29" hidden="1">{"Riqfin97",#N/A,FALSE,"Tran";"Riqfinpro",#N/A,FALSE,"Tran"}</definedName>
    <definedName name="yyyy" localSheetId="1" hidden="1">{"Riqfin97",#N/A,FALSE,"Tran";"Riqfinpro",#N/A,FALSE,"Tran"}</definedName>
    <definedName name="yyyy" localSheetId="15" hidden="1">{"Riqfin97",#N/A,FALSE,"Tran";"Riqfinpro",#N/A,FALSE,"Tran"}</definedName>
    <definedName name="yyyy" localSheetId="12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1" hidden="1">IMF_TABULKA!$C:$D</definedName>
    <definedName name="Z_95224721_0485_11D4_BFD1_00508B5F4DA4_.wvu.Cols" localSheetId="10" hidden="1">#REF!</definedName>
    <definedName name="Z_95224721_0485_11D4_BFD1_00508B5F4DA4_.wvu.Cols" localSheetId="14" hidden="1">#REF!</definedName>
    <definedName name="Z_95224721_0485_11D4_BFD1_00508B5F4DA4_.wvu.Cols" localSheetId="27" hidden="1">#REF!</definedName>
    <definedName name="Z_95224721_0485_11D4_BFD1_00508B5F4DA4_.wvu.Cols" hidden="1">#REF!</definedName>
    <definedName name="zac_kles">[28]Graf14_Graf15!#REF!</definedName>
    <definedName name="zac_kles_2">[28]Graf14_Graf15!#REF!</definedName>
    <definedName name="ZPee_2">[28]Graf14_Graf15!#REF!</definedName>
    <definedName name="ZPer_2">[28]Graf14_Graf15!#REF!</definedName>
    <definedName name="zpiz">[43]ZPIZ!$A$1:$F$65536</definedName>
    <definedName name="zz" localSheetId="10" hidden="1">{"Tab1",#N/A,FALSE,"P";"Tab2",#N/A,FALSE,"P"}</definedName>
    <definedName name="zz" localSheetId="14" hidden="1">{"Tab1",#N/A,FALSE,"P";"Tab2",#N/A,FALSE,"P"}</definedName>
    <definedName name="zz" localSheetId="27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1" hidden="1">{"Tab1",#N/A,FALSE,"P";"Tab2",#N/A,FALSE,"P"}</definedName>
    <definedName name="zz" localSheetId="15" hidden="1">{"Tab1",#N/A,FALSE,"P";"Tab2",#N/A,FALSE,"P"}</definedName>
    <definedName name="zz" localSheetId="12" hidden="1">{"Tab1",#N/A,FALSE,"P";"Tab2",#N/A,FALSE,"P"}</definedName>
    <definedName name="zz" hidden="1">{"Tab1",#N/A,FALSE,"P";"Tab2",#N/A,FALSE,"P"}</definedName>
    <definedName name="zzzs">[43]ZZZS!$A$1:$E$65536</definedName>
  </definedNames>
  <calcPr calcId="152511"/>
</workbook>
</file>

<file path=xl/calcChain.xml><?xml version="1.0" encoding="utf-8"?>
<calcChain xmlns="http://schemas.openxmlformats.org/spreadsheetml/2006/main">
  <c r="C16" i="122" l="1"/>
  <c r="D16" i="122"/>
  <c r="E16" i="122"/>
  <c r="C17" i="122"/>
  <c r="D17" i="122"/>
  <c r="E17" i="122"/>
  <c r="C18" i="122"/>
  <c r="D18" i="122"/>
  <c r="E18" i="122"/>
  <c r="D15" i="122"/>
  <c r="E15" i="122"/>
  <c r="C15" i="122"/>
  <c r="D44" i="196" l="1"/>
  <c r="E44" i="196"/>
  <c r="F44" i="196"/>
  <c r="G44" i="196"/>
  <c r="H44" i="196"/>
  <c r="C44" i="196"/>
  <c r="C46" i="196"/>
  <c r="D46" i="196"/>
  <c r="E46" i="196"/>
  <c r="F46" i="196"/>
  <c r="G46" i="196"/>
  <c r="H46" i="196"/>
  <c r="D45" i="196"/>
  <c r="E45" i="196"/>
  <c r="F45" i="196"/>
  <c r="G45" i="196"/>
  <c r="H45" i="196"/>
  <c r="C45" i="196"/>
  <c r="D41" i="196"/>
  <c r="E41" i="196"/>
  <c r="F41" i="196"/>
  <c r="G41" i="196"/>
  <c r="H41" i="196"/>
  <c r="C41" i="196"/>
  <c r="C38" i="196"/>
  <c r="D38" i="196"/>
  <c r="E38" i="196"/>
  <c r="F38" i="196"/>
  <c r="G38" i="196"/>
  <c r="H38" i="196"/>
  <c r="C39" i="196"/>
  <c r="D39" i="196"/>
  <c r="E39" i="196"/>
  <c r="F39" i="196"/>
  <c r="G39" i="196"/>
  <c r="H39" i="196"/>
  <c r="C40" i="196"/>
  <c r="D40" i="196"/>
  <c r="E40" i="196"/>
  <c r="F40" i="196"/>
  <c r="G40" i="196"/>
  <c r="H40" i="196"/>
  <c r="D37" i="196"/>
  <c r="E37" i="196"/>
  <c r="F37" i="196"/>
  <c r="G37" i="196"/>
  <c r="H37" i="196"/>
  <c r="C37" i="196"/>
  <c r="D36" i="196"/>
  <c r="E36" i="196"/>
  <c r="F36" i="196"/>
  <c r="G36" i="196"/>
  <c r="H36" i="196"/>
  <c r="C36" i="196"/>
  <c r="D35" i="196"/>
  <c r="E35" i="196"/>
  <c r="F35" i="196"/>
  <c r="G35" i="196"/>
  <c r="H35" i="196"/>
  <c r="C35" i="196"/>
  <c r="D34" i="196"/>
  <c r="E34" i="196"/>
  <c r="F34" i="196"/>
  <c r="G34" i="196"/>
  <c r="H34" i="196"/>
  <c r="C34" i="196"/>
  <c r="D33" i="196"/>
  <c r="E33" i="196"/>
  <c r="F33" i="196"/>
  <c r="G33" i="196"/>
  <c r="H33" i="196"/>
  <c r="C33" i="196"/>
  <c r="C29" i="196"/>
  <c r="C42" i="196" s="1"/>
  <c r="D29" i="196"/>
  <c r="E29" i="196"/>
  <c r="F29" i="196"/>
  <c r="G29" i="196"/>
  <c r="H29" i="196"/>
  <c r="C30" i="196"/>
  <c r="D30" i="196"/>
  <c r="E30" i="196"/>
  <c r="F30" i="196"/>
  <c r="G30" i="196"/>
  <c r="H30" i="196"/>
  <c r="C31" i="196"/>
  <c r="D31" i="196"/>
  <c r="E31" i="196"/>
  <c r="F31" i="196"/>
  <c r="G31" i="196"/>
  <c r="H31" i="196"/>
  <c r="C32" i="196"/>
  <c r="D32" i="196"/>
  <c r="E32" i="196"/>
  <c r="F32" i="196"/>
  <c r="G32" i="196"/>
  <c r="H32" i="196"/>
  <c r="D42" i="196" l="1"/>
  <c r="E42" i="196" l="1"/>
  <c r="F42" i="196" l="1"/>
  <c r="G42" i="196" l="1"/>
  <c r="H42" i="196" l="1"/>
  <c r="D23" i="164" l="1"/>
  <c r="E23" i="164"/>
  <c r="F23" i="164"/>
  <c r="G23" i="164"/>
  <c r="H23" i="164"/>
  <c r="I23" i="164"/>
  <c r="J23" i="164"/>
  <c r="K23" i="164"/>
  <c r="D24" i="164"/>
  <c r="E24" i="164"/>
  <c r="F24" i="164"/>
  <c r="G24" i="164"/>
  <c r="H24" i="164"/>
  <c r="I24" i="164"/>
  <c r="J24" i="164"/>
  <c r="K24" i="164"/>
  <c r="D25" i="164"/>
  <c r="E25" i="164"/>
  <c r="F25" i="164"/>
  <c r="G25" i="164"/>
  <c r="I25" i="164"/>
  <c r="J25" i="164"/>
  <c r="K25" i="164"/>
  <c r="D26" i="164"/>
  <c r="E26" i="164"/>
  <c r="F26" i="164"/>
  <c r="G26" i="164"/>
  <c r="J26" i="164"/>
  <c r="K26" i="164"/>
  <c r="D27" i="164"/>
  <c r="E27" i="164"/>
  <c r="F27" i="164"/>
  <c r="G27" i="164"/>
  <c r="H27" i="164"/>
  <c r="I27" i="164"/>
  <c r="J27" i="164"/>
  <c r="K27" i="164"/>
  <c r="D28" i="164"/>
  <c r="E28" i="164"/>
  <c r="F28" i="164"/>
  <c r="G28" i="164"/>
  <c r="H28" i="164"/>
  <c r="I28" i="164"/>
  <c r="J28" i="164"/>
  <c r="K28" i="164"/>
  <c r="E29" i="164"/>
  <c r="F29" i="164"/>
  <c r="G29" i="164"/>
  <c r="H29" i="164"/>
  <c r="I29" i="164"/>
  <c r="J29" i="164"/>
  <c r="K29" i="164"/>
  <c r="E22" i="164"/>
  <c r="F22" i="164"/>
  <c r="G22" i="164"/>
  <c r="H22" i="164"/>
  <c r="I22" i="164"/>
  <c r="J22" i="164"/>
  <c r="K22" i="164"/>
  <c r="D22" i="164"/>
  <c r="C22" i="164"/>
  <c r="C25" i="164" s="1"/>
  <c r="E17" i="102"/>
  <c r="F17" i="102"/>
  <c r="G17" i="102"/>
  <c r="H17" i="102"/>
  <c r="D17" i="102"/>
  <c r="F73" i="154" l="1"/>
  <c r="Y69" i="154"/>
  <c r="AD68" i="154"/>
  <c r="F82" i="154" s="1"/>
  <c r="AC68" i="154"/>
  <c r="E82" i="154" s="1"/>
  <c r="AB68" i="154"/>
  <c r="Z68" i="154"/>
  <c r="AD67" i="154"/>
  <c r="F81" i="154" s="1"/>
  <c r="AC67" i="154"/>
  <c r="E81" i="154" s="1"/>
  <c r="AB67" i="154"/>
  <c r="Z67" i="154"/>
  <c r="AD66" i="154"/>
  <c r="F80" i="154" s="1"/>
  <c r="AC66" i="154"/>
  <c r="E80" i="154" s="1"/>
  <c r="AB66" i="154"/>
  <c r="Z66" i="154"/>
  <c r="AD65" i="154"/>
  <c r="F79" i="154" s="1"/>
  <c r="AC65" i="154"/>
  <c r="E79" i="154" s="1"/>
  <c r="AB65" i="154"/>
  <c r="V82" i="154" s="1"/>
  <c r="T91" i="154" s="1"/>
  <c r="Z65" i="154"/>
  <c r="AD64" i="154"/>
  <c r="F78" i="154" s="1"/>
  <c r="AC64" i="154"/>
  <c r="E78" i="154" s="1"/>
  <c r="AB64" i="154"/>
  <c r="Z64" i="154"/>
  <c r="AD63" i="154"/>
  <c r="F77" i="154" s="1"/>
  <c r="AC63" i="154"/>
  <c r="E77" i="154" s="1"/>
  <c r="AB63" i="154"/>
  <c r="Z63" i="154"/>
  <c r="AD62" i="154"/>
  <c r="F76" i="154" s="1"/>
  <c r="AC62" i="154"/>
  <c r="E76" i="154" s="1"/>
  <c r="AB62" i="154"/>
  <c r="Z62" i="154"/>
  <c r="AD61" i="154"/>
  <c r="F75" i="154" s="1"/>
  <c r="AC61" i="154"/>
  <c r="E75" i="154" s="1"/>
  <c r="AB61" i="154"/>
  <c r="V78" i="154" s="1"/>
  <c r="T95" i="154" s="1"/>
  <c r="Z61" i="154"/>
  <c r="AD60" i="154"/>
  <c r="F74" i="154" s="1"/>
  <c r="AC60" i="154"/>
  <c r="AB60" i="154"/>
  <c r="Z60" i="154"/>
  <c r="AD59" i="154"/>
  <c r="AC59" i="154"/>
  <c r="E73" i="154" s="1"/>
  <c r="AB59" i="154"/>
  <c r="Z59" i="154"/>
  <c r="AD58" i="154"/>
  <c r="F72" i="154" s="1"/>
  <c r="AC58" i="154"/>
  <c r="V75" i="154" s="1"/>
  <c r="T98" i="154" s="1"/>
  <c r="AB58" i="154"/>
  <c r="Z58" i="154"/>
  <c r="V77" i="154" l="1"/>
  <c r="T96" i="154" s="1"/>
  <c r="E74" i="154"/>
  <c r="V85" i="154"/>
  <c r="V83" i="154"/>
  <c r="T90" i="154" s="1"/>
  <c r="E72" i="154"/>
  <c r="V76" i="154"/>
  <c r="T97" i="154" s="1"/>
  <c r="V79" i="154"/>
  <c r="T94" i="154" s="1"/>
  <c r="V80" i="154"/>
  <c r="T93" i="154" s="1"/>
  <c r="V81" i="154"/>
  <c r="T92" i="154" s="1"/>
  <c r="V84" i="154"/>
  <c r="T89" i="154" s="1"/>
  <c r="C5" i="196"/>
  <c r="O6" i="32"/>
  <c r="P6" i="32"/>
  <c r="N7" i="31"/>
  <c r="O7" i="31"/>
  <c r="P7" i="31"/>
  <c r="Q7" i="31"/>
  <c r="R7" i="31"/>
  <c r="M7" i="31"/>
  <c r="E9" i="164"/>
  <c r="G9" i="164"/>
  <c r="H9" i="164"/>
  <c r="I9" i="164"/>
  <c r="J9" i="164"/>
  <c r="K9" i="164"/>
  <c r="K10" i="164" s="1"/>
  <c r="D9" i="164"/>
  <c r="D5" i="196"/>
  <c r="E5" i="196"/>
  <c r="F5" i="196"/>
  <c r="G5" i="196"/>
  <c r="H5" i="196"/>
  <c r="D4" i="196"/>
  <c r="C18" i="196"/>
  <c r="C6" i="107" l="1"/>
  <c r="C16" i="107" s="1"/>
  <c r="C43" i="196"/>
  <c r="I10" i="164"/>
  <c r="I26" i="164" s="1"/>
  <c r="H10" i="164"/>
  <c r="H26" i="164" s="1"/>
  <c r="H25" i="164"/>
  <c r="J10" i="164"/>
  <c r="E10" i="164"/>
  <c r="D17" i="196"/>
  <c r="E17" i="196" l="1"/>
  <c r="E4" i="196"/>
  <c r="D18" i="196"/>
  <c r="W8" i="155"/>
  <c r="X8" i="155"/>
  <c r="Y8" i="155"/>
  <c r="V8" i="155"/>
  <c r="U8" i="155"/>
  <c r="T8" i="155"/>
  <c r="S8" i="155"/>
  <c r="S7" i="155"/>
  <c r="S22" i="155"/>
  <c r="D6" i="107" l="1"/>
  <c r="D16" i="107" s="1"/>
  <c r="D43" i="196"/>
  <c r="E18" i="196"/>
  <c r="F4" i="196"/>
  <c r="F17" i="196"/>
  <c r="E6" i="107" l="1"/>
  <c r="E16" i="107" s="1"/>
  <c r="E43" i="196"/>
  <c r="G4" i="196"/>
  <c r="F18" i="196"/>
  <c r="G17" i="196"/>
  <c r="H17" i="196" s="1"/>
  <c r="H18" i="196" s="1"/>
  <c r="F6" i="107" l="1"/>
  <c r="F16" i="107" s="1"/>
  <c r="F43" i="196"/>
  <c r="H6" i="107"/>
  <c r="H16" i="107" s="1"/>
  <c r="H43" i="196"/>
  <c r="H4" i="196"/>
  <c r="G18" i="196"/>
  <c r="G6" i="107" l="1"/>
  <c r="G16" i="107" s="1"/>
  <c r="G43" i="196"/>
  <c r="D32" i="181"/>
  <c r="C32" i="181"/>
  <c r="O8" i="32" l="1"/>
  <c r="P8" i="32"/>
  <c r="V28" i="151" l="1"/>
  <c r="M28" i="151"/>
  <c r="Z11" i="195" l="1"/>
  <c r="AA11" i="195" s="1"/>
  <c r="AB11" i="195" s="1"/>
  <c r="AC11" i="195" s="1"/>
  <c r="AD11" i="195" s="1"/>
  <c r="AE11" i="195" s="1"/>
  <c r="AF11" i="195" s="1"/>
  <c r="AG11" i="195" s="1"/>
  <c r="AH11" i="195" s="1"/>
  <c r="Z12" i="195"/>
  <c r="AA12" i="195" s="1"/>
  <c r="AB12" i="195" s="1"/>
  <c r="AC12" i="195" s="1"/>
  <c r="AD12" i="195" s="1"/>
  <c r="AE12" i="195" s="1"/>
  <c r="AF12" i="195" s="1"/>
  <c r="AG12" i="195" s="1"/>
  <c r="AH12" i="195" s="1"/>
  <c r="Z10" i="195"/>
  <c r="AA10" i="195" s="1"/>
  <c r="AB10" i="195" s="1"/>
  <c r="AC10" i="195" s="1"/>
  <c r="AD10" i="195" s="1"/>
  <c r="AE10" i="195" s="1"/>
  <c r="AF10" i="195" s="1"/>
  <c r="AG10" i="195" s="1"/>
  <c r="AH10" i="195" s="1"/>
  <c r="AE9" i="195"/>
  <c r="AF9" i="195" s="1"/>
  <c r="AG9" i="195" s="1"/>
  <c r="AH9" i="195" s="1"/>
  <c r="H21" i="16"/>
  <c r="I21" i="16"/>
  <c r="J21" i="16"/>
  <c r="K21" i="16"/>
  <c r="L21" i="16"/>
  <c r="G21" i="16"/>
  <c r="H20" i="16"/>
  <c r="I20" i="16"/>
  <c r="J20" i="16"/>
  <c r="K20" i="16"/>
  <c r="L20" i="16"/>
  <c r="G20" i="16"/>
  <c r="D8" i="122"/>
  <c r="E8" i="122"/>
  <c r="E9" i="122" s="1"/>
  <c r="C8" i="122"/>
  <c r="D9" i="122" l="1"/>
  <c r="R6" i="32"/>
  <c r="H18" i="16" s="1"/>
  <c r="S6" i="32"/>
  <c r="I18" i="16" s="1"/>
  <c r="T6" i="32"/>
  <c r="J18" i="16" s="1"/>
  <c r="U6" i="32"/>
  <c r="K18" i="16" s="1"/>
  <c r="V6" i="32"/>
  <c r="L18" i="16" s="1"/>
  <c r="Q6" i="32"/>
  <c r="G18" i="16" s="1"/>
  <c r="AB18" i="154" l="1"/>
  <c r="AB13" i="154"/>
  <c r="AB12" i="154"/>
  <c r="AB11" i="154"/>
  <c r="AB10" i="154"/>
  <c r="AB9" i="154"/>
  <c r="AC9" i="154"/>
  <c r="Z9" i="154"/>
  <c r="Y20" i="154"/>
  <c r="AA11" i="154" l="1"/>
  <c r="AA68" i="154"/>
  <c r="T85" i="154" s="1"/>
  <c r="AA64" i="154"/>
  <c r="T81" i="154" s="1"/>
  <c r="S92" i="154" s="1"/>
  <c r="AA60" i="154"/>
  <c r="T77" i="154" s="1"/>
  <c r="S96" i="154" s="1"/>
  <c r="AA66" i="154"/>
  <c r="T83" i="154" s="1"/>
  <c r="S90" i="154" s="1"/>
  <c r="AA65" i="154"/>
  <c r="T82" i="154" s="1"/>
  <c r="S91" i="154" s="1"/>
  <c r="AA61" i="154"/>
  <c r="T78" i="154" s="1"/>
  <c r="S95" i="154" s="1"/>
  <c r="AA67" i="154"/>
  <c r="T84" i="154" s="1"/>
  <c r="S89" i="154" s="1"/>
  <c r="AA63" i="154"/>
  <c r="T80" i="154" s="1"/>
  <c r="S93" i="154" s="1"/>
  <c r="AA59" i="154"/>
  <c r="T76" i="154" s="1"/>
  <c r="S97" i="154" s="1"/>
  <c r="AA62" i="154"/>
  <c r="T79" i="154" s="1"/>
  <c r="S94" i="154" s="1"/>
  <c r="AA58" i="154"/>
  <c r="T75" i="154" s="1"/>
  <c r="S98" i="154" s="1"/>
  <c r="AA18" i="154"/>
  <c r="T35" i="154" s="1"/>
  <c r="S40" i="154" s="1"/>
  <c r="AA9" i="154"/>
  <c r="AA19" i="154"/>
  <c r="AA10" i="154"/>
  <c r="AC13" i="154"/>
  <c r="E27" i="154" s="1"/>
  <c r="AA13" i="154"/>
  <c r="T30" i="154" s="1"/>
  <c r="AD10" i="154" l="1"/>
  <c r="F24" i="154" s="1"/>
  <c r="AD11" i="154"/>
  <c r="F25" i="154" s="1"/>
  <c r="AD12" i="154"/>
  <c r="F26" i="154" s="1"/>
  <c r="AD13" i="154"/>
  <c r="F27" i="154" s="1"/>
  <c r="AD14" i="154"/>
  <c r="F28" i="154" s="1"/>
  <c r="AD15" i="154"/>
  <c r="F29" i="154" s="1"/>
  <c r="AD16" i="154"/>
  <c r="F30" i="154" s="1"/>
  <c r="AD17" i="154"/>
  <c r="F31" i="154" s="1"/>
  <c r="AD18" i="154"/>
  <c r="F32" i="154" s="1"/>
  <c r="AD19" i="154"/>
  <c r="F33" i="154" s="1"/>
  <c r="AD9" i="154"/>
  <c r="F23" i="154" s="1"/>
  <c r="E23" i="154"/>
  <c r="V30" i="154"/>
  <c r="V26" i="154"/>
  <c r="AC10" i="154"/>
  <c r="V27" i="154" s="1"/>
  <c r="AC11" i="154"/>
  <c r="V28" i="154" s="1"/>
  <c r="AC12" i="154"/>
  <c r="E26" i="154" s="1"/>
  <c r="AC14" i="154"/>
  <c r="AC15" i="154"/>
  <c r="AC16" i="154"/>
  <c r="E30" i="154" s="1"/>
  <c r="AC17" i="154"/>
  <c r="E31" i="154" s="1"/>
  <c r="AC18" i="154"/>
  <c r="V35" i="154" s="1"/>
  <c r="AC19" i="154"/>
  <c r="AB14" i="154"/>
  <c r="AB15" i="154"/>
  <c r="AB16" i="154"/>
  <c r="AB17" i="154"/>
  <c r="AB19" i="154"/>
  <c r="V29" i="154" l="1"/>
  <c r="V34" i="154"/>
  <c r="V32" i="154"/>
  <c r="V36" i="154"/>
  <c r="V33" i="154"/>
  <c r="V31" i="154"/>
  <c r="E25" i="154"/>
  <c r="E33" i="154"/>
  <c r="E29" i="154"/>
  <c r="E24" i="154"/>
  <c r="E32" i="154"/>
  <c r="E28" i="154"/>
  <c r="T26" i="154"/>
  <c r="S49" i="154" s="1"/>
  <c r="Z10" i="154"/>
  <c r="T27" i="154"/>
  <c r="Z11" i="154"/>
  <c r="T28" i="154"/>
  <c r="Z12" i="154"/>
  <c r="AA12" i="154"/>
  <c r="T29" i="154" s="1"/>
  <c r="Z13" i="154"/>
  <c r="Z14" i="154"/>
  <c r="AA14" i="154"/>
  <c r="T31" i="154" s="1"/>
  <c r="Z15" i="154"/>
  <c r="AA15" i="154"/>
  <c r="T32" i="154" s="1"/>
  <c r="Z16" i="154"/>
  <c r="AA16" i="154"/>
  <c r="T33" i="154" s="1"/>
  <c r="Z17" i="154"/>
  <c r="AA17" i="154"/>
  <c r="T34" i="154" s="1"/>
  <c r="Z18" i="154"/>
  <c r="Z19" i="154"/>
  <c r="T36" i="154"/>
  <c r="L10" i="16" l="1"/>
  <c r="L11" i="16"/>
  <c r="H9" i="102" s="1"/>
  <c r="L12" i="16"/>
  <c r="H10" i="102" l="1"/>
  <c r="H19" i="102" s="1"/>
  <c r="H18" i="102"/>
  <c r="L19" i="16"/>
  <c r="Y15" i="155" l="1"/>
  <c r="S17" i="158" l="1"/>
  <c r="U22" i="155" l="1"/>
  <c r="V22" i="155"/>
  <c r="W22" i="155"/>
  <c r="X22" i="155"/>
  <c r="Y22" i="155"/>
  <c r="T22" i="155"/>
  <c r="Y7" i="155"/>
  <c r="Y12" i="155"/>
  <c r="Y9" i="155" l="1"/>
  <c r="Y21" i="155" s="1"/>
  <c r="U20" i="158"/>
  <c r="U17" i="158"/>
  <c r="U16" i="158"/>
  <c r="U28" i="158" s="1"/>
  <c r="U11" i="158" s="1"/>
  <c r="U15" i="158"/>
  <c r="U27" i="158" s="1"/>
  <c r="U9" i="158" s="1"/>
  <c r="T6" i="193"/>
  <c r="T7" i="193" s="1"/>
  <c r="T88" i="193" l="1"/>
  <c r="T89" i="193" s="1"/>
  <c r="U29" i="158"/>
  <c r="U10" i="158" s="1"/>
  <c r="U14" i="158"/>
  <c r="U7" i="158" s="1"/>
  <c r="U6" i="158"/>
  <c r="Q6" i="193"/>
  <c r="Q88" i="193" l="1"/>
  <c r="Q89" i="193" s="1"/>
  <c r="U26" i="158"/>
  <c r="U8" i="158"/>
  <c r="Q7" i="193"/>
  <c r="U12" i="158" l="1"/>
  <c r="M12" i="18"/>
  <c r="N12" i="18"/>
  <c r="O12" i="18"/>
  <c r="P12" i="18"/>
  <c r="Q12" i="18"/>
  <c r="L12" i="18"/>
  <c r="V15" i="155" l="1"/>
  <c r="W15" i="155"/>
  <c r="X15" i="155"/>
  <c r="U15" i="155"/>
  <c r="N15" i="155"/>
  <c r="O15" i="155"/>
  <c r="P15" i="155"/>
  <c r="Q15" i="155"/>
  <c r="R15" i="155"/>
  <c r="S15" i="155"/>
  <c r="T15" i="155"/>
  <c r="M15" i="155"/>
  <c r="N8" i="155"/>
  <c r="N9" i="155" s="1"/>
  <c r="O8" i="155"/>
  <c r="O9" i="155" s="1"/>
  <c r="P8" i="155"/>
  <c r="P9" i="155" s="1"/>
  <c r="Q8" i="155"/>
  <c r="R8" i="155"/>
  <c r="M8" i="155"/>
  <c r="M9" i="155" s="1"/>
  <c r="R7" i="155" l="1"/>
  <c r="R9" i="155" s="1"/>
  <c r="V7" i="155" l="1"/>
  <c r="V9" i="155" s="1"/>
  <c r="S9" i="155"/>
  <c r="S21" i="155" s="1"/>
  <c r="V21" i="155" l="1"/>
  <c r="L86" i="193"/>
  <c r="L81" i="193" s="1"/>
  <c r="K86" i="193"/>
  <c r="K81" i="193" s="1"/>
  <c r="J86" i="193"/>
  <c r="J81" i="193" s="1"/>
  <c r="I86" i="193"/>
  <c r="H86" i="193"/>
  <c r="G86" i="193"/>
  <c r="F86" i="193"/>
  <c r="I82" i="193"/>
  <c r="I81" i="193" s="1"/>
  <c r="H82" i="193"/>
  <c r="G82" i="193"/>
  <c r="F82" i="193"/>
  <c r="L79" i="193"/>
  <c r="K79" i="193"/>
  <c r="J79" i="193"/>
  <c r="K74" i="193"/>
  <c r="J74" i="193"/>
  <c r="I74" i="193"/>
  <c r="H74" i="193"/>
  <c r="G74" i="193"/>
  <c r="F74" i="193"/>
  <c r="L67" i="193"/>
  <c r="K67" i="193"/>
  <c r="J67" i="193"/>
  <c r="I67" i="193"/>
  <c r="H67" i="193"/>
  <c r="G67" i="193"/>
  <c r="F67" i="193"/>
  <c r="L65" i="193"/>
  <c r="K65" i="193"/>
  <c r="L64" i="193"/>
  <c r="K64" i="193"/>
  <c r="L56" i="193"/>
  <c r="K56" i="193"/>
  <c r="J56" i="193"/>
  <c r="I56" i="193"/>
  <c r="H56" i="193"/>
  <c r="G56" i="193"/>
  <c r="F56" i="193"/>
  <c r="L55" i="193"/>
  <c r="K55" i="193"/>
  <c r="J55" i="193"/>
  <c r="I55" i="193"/>
  <c r="H55" i="193"/>
  <c r="G55" i="193"/>
  <c r="F55" i="193"/>
  <c r="L54" i="193"/>
  <c r="K54" i="193"/>
  <c r="J54" i="193"/>
  <c r="I54" i="193"/>
  <c r="H54" i="193"/>
  <c r="G54" i="193"/>
  <c r="F54" i="193"/>
  <c r="L53" i="193"/>
  <c r="K53" i="193"/>
  <c r="J53" i="193"/>
  <c r="I53" i="193"/>
  <c r="H53" i="193"/>
  <c r="G53" i="193"/>
  <c r="F53" i="193"/>
  <c r="L49" i="193"/>
  <c r="L44" i="193" s="1"/>
  <c r="K49" i="193"/>
  <c r="K44" i="193" s="1"/>
  <c r="J49" i="193"/>
  <c r="J44" i="193" s="1"/>
  <c r="I49" i="193"/>
  <c r="I44" i="193" s="1"/>
  <c r="H49" i="193"/>
  <c r="H44" i="193" s="1"/>
  <c r="G49" i="193"/>
  <c r="G44" i="193" s="1"/>
  <c r="F49" i="193"/>
  <c r="F44" i="193" s="1"/>
  <c r="N36" i="193"/>
  <c r="M36" i="193"/>
  <c r="L40" i="193"/>
  <c r="K40" i="193"/>
  <c r="K36" i="193" s="1"/>
  <c r="J40" i="193"/>
  <c r="J36" i="193" s="1"/>
  <c r="I40" i="193"/>
  <c r="I36" i="193" s="1"/>
  <c r="G40" i="193"/>
  <c r="G36" i="193" s="1"/>
  <c r="F40" i="193"/>
  <c r="F36" i="193" s="1"/>
  <c r="L39" i="193"/>
  <c r="N37" i="193"/>
  <c r="L37" i="193"/>
  <c r="K37" i="193"/>
  <c r="J37" i="193"/>
  <c r="I37" i="193"/>
  <c r="H37" i="193"/>
  <c r="G37" i="193"/>
  <c r="F37" i="193"/>
  <c r="P36" i="193"/>
  <c r="O36" i="193"/>
  <c r="H36" i="193"/>
  <c r="M34" i="193"/>
  <c r="L34" i="193"/>
  <c r="P31" i="193"/>
  <c r="P30" i="193" s="1"/>
  <c r="P29" i="193" s="1"/>
  <c r="O30" i="193"/>
  <c r="O29" i="193" s="1"/>
  <c r="N30" i="193"/>
  <c r="N29" i="193" s="1"/>
  <c r="M30" i="193"/>
  <c r="M29" i="193" s="1"/>
  <c r="L30" i="193"/>
  <c r="L29" i="193" s="1"/>
  <c r="K30" i="193"/>
  <c r="J30" i="193"/>
  <c r="J29" i="193" s="1"/>
  <c r="I30" i="193"/>
  <c r="I29" i="193" s="1"/>
  <c r="H30" i="193"/>
  <c r="H29" i="193" s="1"/>
  <c r="G30" i="193"/>
  <c r="F30" i="193"/>
  <c r="F29" i="193" s="1"/>
  <c r="K29" i="193"/>
  <c r="G29" i="193"/>
  <c r="N27" i="193"/>
  <c r="M27" i="193"/>
  <c r="L27" i="193"/>
  <c r="K27" i="193"/>
  <c r="J27" i="193"/>
  <c r="I27" i="193"/>
  <c r="H27" i="193"/>
  <c r="G27" i="193"/>
  <c r="F27" i="193"/>
  <c r="K26" i="193"/>
  <c r="N25" i="193"/>
  <c r="M25" i="193"/>
  <c r="L25" i="193"/>
  <c r="L24" i="193" s="1"/>
  <c r="L23" i="193" s="1"/>
  <c r="K25" i="193"/>
  <c r="J25" i="193"/>
  <c r="I25" i="193"/>
  <c r="I24" i="193" s="1"/>
  <c r="I23" i="193" s="1"/>
  <c r="H25" i="193"/>
  <c r="H24" i="193" s="1"/>
  <c r="H23" i="193" s="1"/>
  <c r="G25" i="193"/>
  <c r="F25" i="193"/>
  <c r="P24" i="193"/>
  <c r="P23" i="193" s="1"/>
  <c r="O23" i="193"/>
  <c r="N24" i="193"/>
  <c r="N23" i="193" s="1"/>
  <c r="L20" i="193"/>
  <c r="K20" i="193"/>
  <c r="J20" i="193"/>
  <c r="F17" i="193"/>
  <c r="N16" i="193"/>
  <c r="M16" i="193"/>
  <c r="F16" i="193"/>
  <c r="P15" i="193"/>
  <c r="N11" i="193"/>
  <c r="M11" i="193"/>
  <c r="L11" i="193"/>
  <c r="K11" i="193"/>
  <c r="J11" i="193"/>
  <c r="I11" i="193"/>
  <c r="H11" i="193"/>
  <c r="G11" i="193"/>
  <c r="F11" i="193"/>
  <c r="R6" i="193"/>
  <c r="P8" i="193"/>
  <c r="O8" i="193"/>
  <c r="N8" i="193"/>
  <c r="M8" i="193"/>
  <c r="L8" i="193"/>
  <c r="K8" i="193"/>
  <c r="J8" i="193"/>
  <c r="I8" i="193"/>
  <c r="H8" i="193"/>
  <c r="G8" i="193"/>
  <c r="F8" i="193"/>
  <c r="S6" i="193"/>
  <c r="L36" i="193" l="1"/>
  <c r="F24" i="193"/>
  <c r="F23" i="193" s="1"/>
  <c r="F6" i="193" s="1"/>
  <c r="J24" i="193"/>
  <c r="J23" i="193" s="1"/>
  <c r="F81" i="193"/>
  <c r="F42" i="193" s="1"/>
  <c r="F43" i="193" s="1"/>
  <c r="H57" i="193"/>
  <c r="L57" i="193"/>
  <c r="L42" i="193"/>
  <c r="L43" i="193" s="1"/>
  <c r="H81" i="193"/>
  <c r="H42" i="193" s="1"/>
  <c r="H43" i="193" s="1"/>
  <c r="M24" i="193"/>
  <c r="M23" i="193" s="1"/>
  <c r="G24" i="193"/>
  <c r="G23" i="193" s="1"/>
  <c r="G6" i="193" s="1"/>
  <c r="G7" i="193" s="1"/>
  <c r="K24" i="193"/>
  <c r="K23" i="193" s="1"/>
  <c r="I57" i="193"/>
  <c r="O6" i="193"/>
  <c r="O7" i="193" s="1"/>
  <c r="M6" i="193"/>
  <c r="K6" i="193"/>
  <c r="K7" i="193" s="1"/>
  <c r="I42" i="193"/>
  <c r="I43" i="193" s="1"/>
  <c r="P6" i="193"/>
  <c r="J42" i="193"/>
  <c r="J43" i="193" s="1"/>
  <c r="F57" i="193"/>
  <c r="J57" i="193"/>
  <c r="G81" i="193"/>
  <c r="G42" i="193" s="1"/>
  <c r="G43" i="193" s="1"/>
  <c r="I6" i="193"/>
  <c r="I88" i="193" s="1"/>
  <c r="I89" i="193" s="1"/>
  <c r="R88" i="193"/>
  <c r="N6" i="193"/>
  <c r="N7" i="193" s="1"/>
  <c r="G57" i="193"/>
  <c r="K57" i="193"/>
  <c r="K42" i="193"/>
  <c r="K43" i="193" s="1"/>
  <c r="H6" i="193"/>
  <c r="L6" i="193"/>
  <c r="I7" i="193"/>
  <c r="R89" i="193"/>
  <c r="R7" i="193"/>
  <c r="J6" i="193"/>
  <c r="S7" i="193"/>
  <c r="N88" i="193" l="1"/>
  <c r="M88" i="193"/>
  <c r="M89" i="193" s="1"/>
  <c r="M7" i="193"/>
  <c r="G88" i="193"/>
  <c r="G89" i="193" s="1"/>
  <c r="J7" i="193"/>
  <c r="J88" i="193"/>
  <c r="J89" i="193" s="1"/>
  <c r="S88" i="193"/>
  <c r="S89" i="193" s="1"/>
  <c r="F88" i="193"/>
  <c r="F89" i="193" s="1"/>
  <c r="F7" i="193"/>
  <c r="H7" i="193"/>
  <c r="H88" i="193"/>
  <c r="H89" i="193" s="1"/>
  <c r="P7" i="193"/>
  <c r="P88" i="193"/>
  <c r="P89" i="193" s="1"/>
  <c r="L7" i="193"/>
  <c r="L88" i="193"/>
  <c r="K88" i="193"/>
  <c r="K89" i="193" s="1"/>
  <c r="C6" i="164" s="1"/>
  <c r="C9" i="164" s="1"/>
  <c r="Q7" i="155" s="1"/>
  <c r="Q9" i="155" s="1"/>
  <c r="O89" i="193" l="1"/>
  <c r="N89" i="193"/>
  <c r="L89" i="193"/>
  <c r="U7" i="155"/>
  <c r="U9" i="155" s="1"/>
  <c r="U21" i="155" s="1"/>
  <c r="W7" i="155"/>
  <c r="W9" i="155" s="1"/>
  <c r="W21" i="155" l="1"/>
  <c r="W10" i="155"/>
  <c r="X7" i="155"/>
  <c r="X9" i="155" s="1"/>
  <c r="Y10" i="155" l="1"/>
  <c r="X21" i="155"/>
  <c r="N10" i="155"/>
  <c r="O10" i="155"/>
  <c r="P10" i="155"/>
  <c r="Q10" i="155"/>
  <c r="R10" i="155"/>
  <c r="S10" i="155"/>
  <c r="V10" i="155"/>
  <c r="X10" i="155"/>
  <c r="N12" i="155"/>
  <c r="O12" i="155"/>
  <c r="P12" i="155"/>
  <c r="Q12" i="155"/>
  <c r="R12" i="155"/>
  <c r="S12" i="155"/>
  <c r="T12" i="155"/>
  <c r="U12" i="155"/>
  <c r="V12" i="155"/>
  <c r="W12" i="155"/>
  <c r="X12" i="155"/>
  <c r="P15" i="158" l="1"/>
  <c r="Q15" i="158"/>
  <c r="R15" i="158"/>
  <c r="S15" i="158"/>
  <c r="T15" i="158"/>
  <c r="P16" i="158"/>
  <c r="Q16" i="158"/>
  <c r="R16" i="158"/>
  <c r="S16" i="158"/>
  <c r="T16" i="158"/>
  <c r="Q17" i="158"/>
  <c r="Q29" i="158" s="1"/>
  <c r="R17" i="158"/>
  <c r="R29" i="158" s="1"/>
  <c r="S29" i="158"/>
  <c r="T17" i="158"/>
  <c r="T29" i="158" s="1"/>
  <c r="S14" i="158" l="1"/>
  <c r="S7" i="158" s="1"/>
  <c r="I12" i="16"/>
  <c r="J12" i="16"/>
  <c r="K12" i="16"/>
  <c r="H10" i="16"/>
  <c r="I10" i="16"/>
  <c r="J10" i="16"/>
  <c r="K10" i="16"/>
  <c r="H11" i="16"/>
  <c r="D9" i="102" s="1"/>
  <c r="I11" i="16"/>
  <c r="E9" i="102" s="1"/>
  <c r="J11" i="16"/>
  <c r="F9" i="102" s="1"/>
  <c r="K11" i="16"/>
  <c r="G9" i="102" s="1"/>
  <c r="Q7" i="139"/>
  <c r="N7" i="139"/>
  <c r="N21" i="139" s="1"/>
  <c r="Q21" i="139" s="1"/>
  <c r="G10" i="102" l="1"/>
  <c r="G19" i="102" s="1"/>
  <c r="G18" i="102"/>
  <c r="F10" i="102"/>
  <c r="F19" i="102" s="1"/>
  <c r="F18" i="102"/>
  <c r="D10" i="102"/>
  <c r="D19" i="102" s="1"/>
  <c r="D18" i="102"/>
  <c r="E10" i="102"/>
  <c r="E19" i="102" s="1"/>
  <c r="E18" i="102"/>
  <c r="O8" i="139"/>
  <c r="P8" i="139" s="1"/>
  <c r="N8" i="139"/>
  <c r="Q8" i="139" l="1"/>
  <c r="N9" i="139"/>
  <c r="O9" i="139"/>
  <c r="P9" i="139" s="1"/>
  <c r="N10" i="139" l="1"/>
  <c r="O10" i="139"/>
  <c r="P10" i="139" s="1"/>
  <c r="Q9" i="139"/>
  <c r="N11" i="139" l="1"/>
  <c r="O11" i="139"/>
  <c r="P11" i="139" s="1"/>
  <c r="Q10" i="139"/>
  <c r="N12" i="139" l="1"/>
  <c r="O12" i="139"/>
  <c r="P12" i="139" s="1"/>
  <c r="Q11" i="139"/>
  <c r="N13" i="139" l="1"/>
  <c r="O13" i="139"/>
  <c r="P13" i="139" s="1"/>
  <c r="Q12" i="139"/>
  <c r="N14" i="139" l="1"/>
  <c r="O14" i="139"/>
  <c r="P14" i="139" s="1"/>
  <c r="Q13" i="139"/>
  <c r="N15" i="139" l="1"/>
  <c r="O15" i="139"/>
  <c r="P15" i="139" s="1"/>
  <c r="Q14" i="139"/>
  <c r="N16" i="139" l="1"/>
  <c r="O16" i="139"/>
  <c r="P16" i="139" s="1"/>
  <c r="Q15" i="139"/>
  <c r="N17" i="139" l="1"/>
  <c r="O17" i="139"/>
  <c r="P17" i="139" s="1"/>
  <c r="Q16" i="139"/>
  <c r="N18" i="139" l="1"/>
  <c r="O18" i="139"/>
  <c r="P18" i="139" s="1"/>
  <c r="Q17" i="139"/>
  <c r="N19" i="139" l="1"/>
  <c r="O19" i="139"/>
  <c r="P19" i="139" s="1"/>
  <c r="Q18" i="139"/>
  <c r="N20" i="139" l="1"/>
  <c r="O20" i="139"/>
  <c r="P20" i="139" s="1"/>
  <c r="Q19" i="139"/>
  <c r="Q20" i="139" l="1"/>
  <c r="L28" i="151" l="1"/>
  <c r="N28" i="151"/>
  <c r="O28" i="151"/>
  <c r="P28" i="151"/>
  <c r="Q28" i="151"/>
  <c r="R28" i="151"/>
  <c r="S28" i="151"/>
  <c r="T28" i="151"/>
  <c r="U28" i="151"/>
  <c r="K28" i="151"/>
  <c r="L27" i="151"/>
  <c r="K27" i="151"/>
  <c r="K15" i="151"/>
  <c r="L15" i="151"/>
  <c r="L14" i="151"/>
  <c r="K14" i="151"/>
  <c r="H23" i="16" l="1"/>
  <c r="I23" i="16" s="1"/>
  <c r="I24" i="16" s="1"/>
  <c r="I25" i="16" s="1"/>
  <c r="I26" i="16" s="1"/>
  <c r="H24" i="16" l="1"/>
  <c r="H25" i="16" s="1"/>
  <c r="H26" i="16" s="1"/>
  <c r="J23" i="16" l="1"/>
  <c r="J24" i="16" l="1"/>
  <c r="J25" i="16" s="1"/>
  <c r="J26" i="16" s="1"/>
  <c r="K23" i="16"/>
  <c r="K24" i="16" l="1"/>
  <c r="K25" i="16" s="1"/>
  <c r="K26" i="16" s="1"/>
  <c r="L23" i="16"/>
  <c r="L24" i="16" s="1"/>
  <c r="L25" i="16" s="1"/>
  <c r="L26" i="16" s="1"/>
  <c r="P20" i="158"/>
  <c r="P6" i="158" s="1"/>
  <c r="Q20" i="158"/>
  <c r="Q6" i="158" s="1"/>
  <c r="R20" i="158"/>
  <c r="R6" i="158" s="1"/>
  <c r="S20" i="158"/>
  <c r="S6" i="158" s="1"/>
  <c r="T20" i="158"/>
  <c r="T6" i="158" s="1"/>
  <c r="P27" i="158"/>
  <c r="R27" i="158"/>
  <c r="S27" i="158"/>
  <c r="Q14" i="158" l="1"/>
  <c r="T14" i="158"/>
  <c r="R14" i="158"/>
  <c r="T26" i="158" l="1"/>
  <c r="T7" i="158"/>
  <c r="T8" i="158" s="1"/>
  <c r="R26" i="158"/>
  <c r="R7" i="158"/>
  <c r="R8" i="158" s="1"/>
  <c r="S26" i="158"/>
  <c r="S8" i="158"/>
  <c r="Q26" i="158"/>
  <c r="Q7" i="158"/>
  <c r="Q8" i="158" s="1"/>
  <c r="P9" i="158"/>
  <c r="Q27" i="158"/>
  <c r="Q9" i="158" s="1"/>
  <c r="R9" i="158"/>
  <c r="S9" i="158"/>
  <c r="T27" i="158"/>
  <c r="T9" i="158" s="1"/>
  <c r="P28" i="158"/>
  <c r="P11" i="158" s="1"/>
  <c r="Q28" i="158"/>
  <c r="Q11" i="158" s="1"/>
  <c r="R28" i="158"/>
  <c r="R11" i="158" s="1"/>
  <c r="S28" i="158"/>
  <c r="S11" i="158" s="1"/>
  <c r="T28" i="158"/>
  <c r="T11" i="158" s="1"/>
  <c r="Q10" i="158"/>
  <c r="R10" i="158"/>
  <c r="S10" i="158"/>
  <c r="T10" i="158"/>
  <c r="S44" i="154" l="1"/>
  <c r="S48" i="154"/>
  <c r="T40" i="154"/>
  <c r="T41" i="154"/>
  <c r="T42" i="154"/>
  <c r="T43" i="154"/>
  <c r="T44" i="154"/>
  <c r="T45" i="154"/>
  <c r="T46" i="154"/>
  <c r="T47" i="154"/>
  <c r="T48" i="154"/>
  <c r="T49" i="154"/>
  <c r="S42" i="154"/>
  <c r="S46" i="154"/>
  <c r="S41" i="154"/>
  <c r="S43" i="154"/>
  <c r="S45" i="154"/>
  <c r="S47" i="154"/>
  <c r="S12" i="158" l="1"/>
  <c r="R12" i="158"/>
  <c r="T12" i="158"/>
  <c r="J28" i="151"/>
  <c r="Q12" i="158" l="1"/>
  <c r="G19" i="16" l="1"/>
  <c r="H19" i="16" l="1"/>
  <c r="I19" i="16" l="1"/>
  <c r="J19" i="16" l="1"/>
  <c r="K19" i="16" l="1"/>
  <c r="F9" i="164"/>
  <c r="G10" i="16" s="1"/>
  <c r="G11" i="16"/>
  <c r="P17" i="158"/>
  <c r="P29" i="158" s="1"/>
  <c r="P10" i="158" s="1"/>
  <c r="T7" i="155" l="1"/>
  <c r="T9" i="155" s="1"/>
  <c r="P14" i="158"/>
  <c r="F10" i="164"/>
  <c r="G12" i="16" s="1"/>
  <c r="G10" i="164"/>
  <c r="H12" i="16" s="1"/>
  <c r="P26" i="158" l="1"/>
  <c r="P7" i="158"/>
  <c r="P8" i="158" s="1"/>
  <c r="P12" i="158" s="1"/>
  <c r="U10" i="155"/>
  <c r="T21" i="155"/>
  <c r="T10" i="155"/>
</calcChain>
</file>

<file path=xl/comments1.xml><?xml version="1.0" encoding="utf-8"?>
<comments xmlns="http://schemas.openxmlformats.org/spreadsheetml/2006/main">
  <authors>
    <author>Autor</author>
  </authors>
  <commentList>
    <comment ref="E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malo by byť zahrnuté v dani z prijmov z pravnickych osob</t>
        </r>
      </text>
    </comment>
    <comment ref="E33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konsolidovaná</t>
        </r>
      </text>
    </comment>
    <comment ref="E3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nekonsolidovaná</t>
        </r>
      </text>
    </comment>
    <comment ref="E3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konsolidovaná</t>
        </r>
      </text>
    </comment>
    <comment ref="E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pripočítaná zmena stavu pohľadávky voči EÚ, korekcia je na výdavkovej strane na D.9
- z tab. transfery EU v sektore a mimo ulozena v podkladoch EU: (príjmy EU) -  (konecny prijemca je mimo sektora VS) + (zmena stavu pohladavky voci EU) </t>
        </r>
      </text>
    </comment>
    <comment ref="M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198,509 neuznanie transakcie ŠFRB</t>
        </r>
      </text>
    </comment>
    <comment ref="E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subvencie len mimo sektora</t>
        </r>
      </text>
    </comment>
    <comment ref="F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165,970 odpočítané dotácie, ktoré sa teraz konsolidujú ked su ZSSK v sektore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270,339 odpočítané dotácie, ktoré sa teraz konsolidujú ked su ZSSK v sektore
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228,114 odpočítané dotácie, ktoré sa teraz konsolidujú ked su ZSSK v sektore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199,498 odpočítané dotácie, ktoré sa teraz konsolidujú ked su ZSR v sektore;
105,301 je uprava aby sme sedeli na Albertov cash polozka RK644 po odpocitani EU;
67,516 odpočítané dotácie, ktoré sa teraz konsolidujú ked su ZSSK v sektore;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345,988 odpočítané dotácie, ktoré sa teraz konsolidujú ked su ZSR v sektore;
174,99 je uprava aby sme sedeli na Albertov cash polozka RK644 po odpocitani EU;
197,342 odpočítané dotácie, ktoré sa teraz konsolidujú ked su ZSSK v sektore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333,753 odpočítané dotácie, ktoré sa teraz konsolidujú ked su ZSR v sektore;
197,559 odpočítané dotácie, ktoré sa teraz konsolidujú ked su ZSSK v sektore</t>
        </r>
      </text>
    </comment>
    <comment ref="L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197,559 odpočítané dotácie, ktoré sa teraz konsolidujú ked su ZSSK v sektore</t>
        </r>
      </text>
    </comment>
    <comment ref="M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F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165,970 odpočítané dotácie, ktoré sa teraz konsolidujú ked su ZSSK v sektore</t>
        </r>
      </text>
    </comment>
    <comment ref="G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270,339 odpočítané dotácie, ktoré sa teraz konsolidujú ked su ZSSK v sektore</t>
        </r>
      </text>
    </comment>
    <comment ref="H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228,114 odpočítané dotácie, ktoré sa teraz konsolidujú ked su ZSSK v sektore</t>
        </r>
      </text>
    </comment>
    <comment ref="I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199,498 odpočítané dotácie, ktoré sa teraz konsolidujú ked su ZSR v sektore (p.Holikova od Mikulika kl.2323);
105,301 je uprava aby sme sedeli na Albertov cash polozka RK644 po odpocitani EU;
67,516 odpočítané dotácie, ktoré sa teraz konsolidujú ked su ZSSK v sektore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345,988 odpočítané dotácie, ktoré sa teraz konsolidujú ked su ZSR v sektore (p.Holikova od Mikulika kl.2323);
174,99 je uprava aby sme sedeli na Albertov cash polozka RK644 po odpocitani EU;
197,342 odpočítané dotácie, ktoré sa teraz konsolidujú ked su ZSSK v sektore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333,753 odpočítané dotácie, ktoré sa teraz konsolidujú ked su ZSR v sektore (p.Holikova od Mikulika kl.2323); 
197,559 odpočítané dotácie, ktoré sa teraz konsolidujú ked su ZSSK v sektore</t>
        </r>
      </text>
    </comment>
    <comment ref="L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197,559 odpočítané dotácie, ktoré sa teraz konsolidujú ked su ZSSK v sektore</t>
        </r>
      </text>
    </comment>
    <comment ref="M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F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</t>
        </r>
      </text>
    </comment>
    <comment ref="H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</t>
        </r>
      </text>
    </comment>
    <comment ref="I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</t>
        </r>
      </text>
    </comment>
    <comment ref="J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</t>
        </r>
      </text>
    </comment>
    <comment ref="K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</t>
        </r>
      </text>
    </comment>
    <comment ref="L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N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E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potrebné očistiť o časové rozlíšenie odvodu do EÚ z dotazníka tab.6 alebo špeciálna tab. o odvodoch z podkladov k notif.</t>
        </r>
      </text>
    </comment>
  </commentList>
</comments>
</file>

<file path=xl/sharedStrings.xml><?xml version="1.0" encoding="utf-8"?>
<sst xmlns="http://schemas.openxmlformats.org/spreadsheetml/2006/main" count="2664" uniqueCount="1565">
  <si>
    <t>% HDP</t>
  </si>
  <si>
    <t>mil. eur</t>
  </si>
  <si>
    <t>-</t>
  </si>
  <si>
    <t>Zdroj: MF SR</t>
  </si>
  <si>
    <t>v % HDP</t>
  </si>
  <si>
    <t>Štrukturálne saldo</t>
  </si>
  <si>
    <t>NPC</t>
  </si>
  <si>
    <t>Ukazovateľ</t>
  </si>
  <si>
    <t>Konsolidačné úsilie</t>
  </si>
  <si>
    <t>10. Zmena v príjmoch z titulu diskrečných príjmových opatrení</t>
  </si>
  <si>
    <t>%</t>
  </si>
  <si>
    <t>p.b.</t>
  </si>
  <si>
    <t>Hrubý dlh verejnej správy</t>
  </si>
  <si>
    <t xml:space="preserve"> - štátny dlh (bez vplyvu medzinár. záväzkov)</t>
  </si>
  <si>
    <t xml:space="preserve"> - podiel SR na dlhu EFSF</t>
  </si>
  <si>
    <t xml:space="preserve"> - vklad do ESM</t>
  </si>
  <si>
    <t>A. Hrubý dlh verejnej správy (k 1.1.)</t>
  </si>
  <si>
    <t>B. Celková medziročná zmena hrubého dlhu VS</t>
  </si>
  <si>
    <t>z toho: NDS</t>
  </si>
  <si>
    <t>C. Hrubý dlh verejnej správy (k 31.12.)</t>
  </si>
  <si>
    <t>Pozn.: Plusové položky zvyšujú dlh verejnej správy k 31.12. príslušného roku, mínusové položky dlh znižujú.</t>
  </si>
  <si>
    <t>Funkcie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</si>
  <si>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</si>
  <si>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</si>
  <si>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</si>
  <si>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</si>
  <si>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</si>
  <si>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</si>
  <si>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</si>
  <si>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</si>
  <si>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</si>
  <si>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</si>
  <si>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</si>
  <si>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TE</t>
  </si>
  <si>
    <t>ESA kód</t>
  </si>
  <si>
    <t>Príjmy spolu</t>
  </si>
  <si>
    <t>TR</t>
  </si>
  <si>
    <t>Dane z produkcie a dovozu</t>
  </si>
  <si>
    <t>D.2</t>
  </si>
  <si>
    <t>Bežné dane z dôchodkov, majetku</t>
  </si>
  <si>
    <t>D.5</t>
  </si>
  <si>
    <t>Dane z kapitálu</t>
  </si>
  <si>
    <t>D.91</t>
  </si>
  <si>
    <t>Príspevky na sociálne zabezpečenie</t>
  </si>
  <si>
    <t>D.61</t>
  </si>
  <si>
    <t>Dôchodky z majetku</t>
  </si>
  <si>
    <t>D.4R</t>
  </si>
  <si>
    <t>Výdavky spolu</t>
  </si>
  <si>
    <t>Kompenzácie zamestnancov</t>
  </si>
  <si>
    <t>D.1P</t>
  </si>
  <si>
    <t>Medzispotreba</t>
  </si>
  <si>
    <t>P.2</t>
  </si>
  <si>
    <t>Subvencie</t>
  </si>
  <si>
    <t>Úrokové náklady</t>
  </si>
  <si>
    <t>D.41P</t>
  </si>
  <si>
    <t>Celkové sociálne transfery</t>
  </si>
  <si>
    <t>Tvorba hrubého fixného kapitálu</t>
  </si>
  <si>
    <t>P.51G</t>
  </si>
  <si>
    <t>Kapitálové transfery</t>
  </si>
  <si>
    <t>D.9P</t>
  </si>
  <si>
    <t>B.9 (4)</t>
  </si>
  <si>
    <t>Subsektor</t>
  </si>
  <si>
    <t>ESA2010</t>
  </si>
  <si>
    <t>S.13</t>
  </si>
  <si>
    <t>P.č</t>
  </si>
  <si>
    <t>Program stability</t>
  </si>
  <si>
    <t>Návrh rozpočtu</t>
  </si>
  <si>
    <t>m.j.</t>
  </si>
  <si>
    <t>HDP, bežné ceny</t>
  </si>
  <si>
    <t>mld. eur</t>
  </si>
  <si>
    <t>HDP, stále ceny</t>
  </si>
  <si>
    <t>Priemerný rast zamestnanosti, podľa VZPS</t>
  </si>
  <si>
    <t>Priemerný rast zamestnanosti, podľa ESA 2010</t>
  </si>
  <si>
    <t>Priemerná miera nezamestnanosti, podľa VZPS</t>
  </si>
  <si>
    <t>Priemerná evidovaná miera nezamestnanosti</t>
  </si>
  <si>
    <t>Harmonizovaný index spotrebiteľských cien (HICP)</t>
  </si>
  <si>
    <t>Bilancia bežného účtu (podiel na HDP)</t>
  </si>
  <si>
    <t>Cieľové saldá verejnej správy</t>
  </si>
  <si>
    <t>B.9</t>
  </si>
  <si>
    <t>Program stability (1)</t>
  </si>
  <si>
    <t>Návrh rozpočtového plánu (2)</t>
  </si>
  <si>
    <t>Rozdiel (2-1)</t>
  </si>
  <si>
    <t>Gross fixed capital formation</t>
  </si>
  <si>
    <t xml:space="preserve">Zamestnanosť </t>
  </si>
  <si>
    <t xml:space="preserve">Verejná správa </t>
  </si>
  <si>
    <t>Trhové služby</t>
  </si>
  <si>
    <t>Priemysel</t>
  </si>
  <si>
    <t>Stavebníctvo</t>
  </si>
  <si>
    <t>2015Q1</t>
  </si>
  <si>
    <t>2015Q2</t>
  </si>
  <si>
    <t>2015Q3</t>
  </si>
  <si>
    <t>2015Q4</t>
  </si>
  <si>
    <t>2016Q1</t>
  </si>
  <si>
    <t>2016Q2</t>
  </si>
  <si>
    <t>HDP</t>
  </si>
  <si>
    <t>súkromná spotreba</t>
  </si>
  <si>
    <t>verejná spotreba</t>
  </si>
  <si>
    <t>investície</t>
  </si>
  <si>
    <t>čistý export</t>
  </si>
  <si>
    <t>EÚ</t>
  </si>
  <si>
    <t>Celková inflácia</t>
  </si>
  <si>
    <t>Čistá inflácia</t>
  </si>
  <si>
    <t>Ceny potravín</t>
  </si>
  <si>
    <t>Regulované ceny</t>
  </si>
  <si>
    <t>Zmena nepriamych daní</t>
  </si>
  <si>
    <t>Pot. HDP (rast, %)</t>
  </si>
  <si>
    <t>Zásoba kapitálu</t>
  </si>
  <si>
    <t xml:space="preserve"> Práca</t>
  </si>
  <si>
    <t>2018F</t>
  </si>
  <si>
    <t>2019F</t>
  </si>
  <si>
    <t>min</t>
  </si>
  <si>
    <t>max-min</t>
  </si>
  <si>
    <t>medián Výboru</t>
  </si>
  <si>
    <t>prognóza MF SR</t>
  </si>
  <si>
    <t>3.   Výdavky kryté EU (kapitálové)</t>
  </si>
  <si>
    <t>2.   Úrokové náklady</t>
  </si>
  <si>
    <t>3a. Výdavky kryté EÚ zdrojmi (celkové)</t>
  </si>
  <si>
    <t>4.   Kapitálové výdavky kryté národnými zdrojmi</t>
  </si>
  <si>
    <t>5.   Vyhladené kapitálové výdavky (nár. zdroje 4-ročný pohyblivý priemer)</t>
  </si>
  <si>
    <t>6.   Cyklické výdavky na dávky v nezamestnanosti</t>
  </si>
  <si>
    <t xml:space="preserve">7.   Výdavky plne kryté automatickým zvýšením príjmov </t>
  </si>
  <si>
    <t>8.   Primárny výdavkový agregát (1-2-3a-4+5-6-7)</t>
  </si>
  <si>
    <t>z toho: Dopravné podniky obcí</t>
  </si>
  <si>
    <t xml:space="preserve"> - ostatné</t>
  </si>
  <si>
    <t>Zmena hrubého dlhu verejnej správy</t>
  </si>
  <si>
    <t>Príspevky k zmene hrubého dlhu verejnej správy:</t>
  </si>
  <si>
    <t>Primárne saldo</t>
  </si>
  <si>
    <t>Úroky</t>
  </si>
  <si>
    <t>Rast nominálneho HDP</t>
  </si>
  <si>
    <t>Zosúladenie deficitu a dlhu</t>
  </si>
  <si>
    <t>Rast reálneho HDP</t>
  </si>
  <si>
    <t>Deflátor HDP</t>
  </si>
  <si>
    <t>Čistý dlh verejnej správy</t>
  </si>
  <si>
    <t>Zmeny</t>
  </si>
  <si>
    <t>Medzisúčet</t>
  </si>
  <si>
    <t>Prechod osi x</t>
  </si>
  <si>
    <t>Výplň</t>
  </si>
  <si>
    <t>Zmena</t>
  </si>
  <si>
    <t>GEO/TIME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</si>
  <si>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</si>
  <si>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</si>
  <si>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</si>
  <si>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</si>
  <si>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</si>
  <si>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</si>
  <si>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</si>
  <si>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</si>
  <si>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</si>
  <si>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Czech Republic</t>
  </si>
  <si>
    <t>Hungary</t>
  </si>
  <si>
    <t>Poland</t>
  </si>
  <si>
    <t>V3</t>
  </si>
  <si>
    <t>Date</t>
  </si>
  <si>
    <t xml:space="preserve"> - medziročná zmena</t>
  </si>
  <si>
    <t>CZ</t>
  </si>
  <si>
    <t>check</t>
  </si>
  <si>
    <t>Primárne štrukturálne saldo</t>
  </si>
  <si>
    <t>Produkčná medzera</t>
  </si>
  <si>
    <t>Nominálne saldo</t>
  </si>
  <si>
    <t>1.   Celkové výdavky</t>
  </si>
  <si>
    <t>p. m. deflátor HDP</t>
  </si>
  <si>
    <t>2015 S</t>
  </si>
  <si>
    <t>GRAF 13: Zmena primárneho štrukturálneho salda oproti úrovni produkčnej medzery (% HDP)</t>
  </si>
  <si>
    <t>GRAF 14: Zmena primárneho štrukturálneho salda oproti zmene produkčnej medzery (% HDP)</t>
  </si>
  <si>
    <t>Daňové príjmy spolu</t>
  </si>
  <si>
    <t>S. 13</t>
  </si>
  <si>
    <t>Dane z produkcie</t>
  </si>
  <si>
    <t>Dane z príjmu</t>
  </si>
  <si>
    <t>Odvodové príjmy</t>
  </si>
  <si>
    <t>Saldá verejnej správy na základe NPC scenára</t>
  </si>
  <si>
    <t>GRAF 1: Štrukturálne saldo (% HDP)</t>
  </si>
  <si>
    <t>GRAF 2: Hrubý dlh VS (% HDP)</t>
  </si>
  <si>
    <t>GRAF 4: Vývoj indikátorov dôvery v krajinách eurozóny</t>
  </si>
  <si>
    <t>GRAF 8: Príspevky k inflácii (p.b.)</t>
  </si>
  <si>
    <t>GRAF 6: Príspevky k rastu HDP - prognóza (p.b.)</t>
  </si>
  <si>
    <t>GRAF 9: Vývoj produkčnej medzery (% pot. HDP) – prístup EK a metodika Ministerstva financií</t>
  </si>
  <si>
    <t>Hrubý dlh</t>
  </si>
  <si>
    <t>Hrubý dlh (očistený o EFSF a ESM)</t>
  </si>
  <si>
    <t>EFSF a ESM</t>
  </si>
  <si>
    <t>Čistý dlh</t>
  </si>
  <si>
    <t>Ostatné dane</t>
  </si>
  <si>
    <t>Spotrebné dane</t>
  </si>
  <si>
    <t>Limit odchýlky na 2r. horizonte</t>
  </si>
  <si>
    <t>Limit odchýlky na 1r. horizonte</t>
  </si>
  <si>
    <t>Priemer eurozóny (19 krajín)</t>
  </si>
  <si>
    <t>PL</t>
  </si>
  <si>
    <t>HU</t>
  </si>
  <si>
    <t>SK</t>
  </si>
  <si>
    <t>v mil. eur</t>
  </si>
  <si>
    <t>Daň z pridanej hodnoty</t>
  </si>
  <si>
    <t>EA19</t>
  </si>
  <si>
    <t>EU28</t>
  </si>
  <si>
    <t>2006</t>
  </si>
  <si>
    <t>Total general government expenditure</t>
  </si>
  <si>
    <t>EA 19</t>
  </si>
  <si>
    <t>Euro area (19 countries)</t>
  </si>
  <si>
    <t>Rozpočtové ciele</t>
  </si>
  <si>
    <t>53-55% HDP</t>
  </si>
  <si>
    <t>55-57% HDP</t>
  </si>
  <si>
    <t>57-60% HDP</t>
  </si>
  <si>
    <t>GRAF 10: Porovnanie prognóz makroekonomických základní pre rozpočtové príjmy s členmi výboru</t>
  </si>
  <si>
    <t>Požadované konsolidačné úsilie</t>
  </si>
  <si>
    <t>MTO</t>
  </si>
  <si>
    <t>Nominálne HDP</t>
  </si>
  <si>
    <t>Vstupné dáta</t>
  </si>
  <si>
    <t>Graf 1</t>
  </si>
  <si>
    <t>Graf 2</t>
  </si>
  <si>
    <t>Graf 3</t>
  </si>
  <si>
    <t>Graf 4</t>
  </si>
  <si>
    <t>Graf 7</t>
  </si>
  <si>
    <t>Graf 8</t>
  </si>
  <si>
    <t xml:space="preserve">Graf 9 </t>
  </si>
  <si>
    <t xml:space="preserve"> Všeobecné verejné služby</t>
  </si>
  <si>
    <t>Obrana</t>
  </si>
  <si>
    <t xml:space="preserve"> Verejný poriadok a bezpečnosť</t>
  </si>
  <si>
    <t xml:space="preserve"> Ekonomická oblasť</t>
  </si>
  <si>
    <t xml:space="preserve"> Ochrana životného prostredia</t>
  </si>
  <si>
    <t xml:space="preserve"> Bývanie a občianska vybavenosť</t>
  </si>
  <si>
    <t xml:space="preserve"> Zdravotníctvo</t>
  </si>
  <si>
    <t xml:space="preserve"> Rekreácia, kultúra a náboženstvo</t>
  </si>
  <si>
    <t xml:space="preserve"> Vzdelávanie</t>
  </si>
  <si>
    <t xml:space="preserve"> Sociálne zabezpečenie</t>
  </si>
  <si>
    <t>p. b. HDP</t>
  </si>
  <si>
    <t xml:space="preserve"> </t>
  </si>
  <si>
    <t>Rozdiel CVVS</t>
  </si>
  <si>
    <t>Rozdiel HDP</t>
  </si>
  <si>
    <t>COFOG Code</t>
  </si>
  <si>
    <t>Functions of the Government</t>
  </si>
  <si>
    <t>Rozdiel medzi OS, RVS a RVS t+1</t>
  </si>
  <si>
    <t>Zdroj: MF SR, Eurostat</t>
  </si>
  <si>
    <t>Pozn.: Metodika zaznamenávania výdavkov podľa funkčnej klasifikácie sa môže medzi jednotlivými krajinami líšiť. Toto môže spôsobiť, že v rámci rovnakej položky vystupujú v rôznych krajinách odlišné dáta (napr. zdaňované a nezdaňované dôchodky). Klasifikácia COFOG tiež nezohľadňuje výdavky realizované cez daňový systém (napr. daňové bonusy). CVVS – Celkové výdavky verejnej správy</t>
  </si>
  <si>
    <t>COFOG kód</t>
  </si>
  <si>
    <t>% CVS</t>
  </si>
  <si>
    <t>štrukturálne saldo</t>
  </si>
  <si>
    <t>∆ štrukturálneho primárneho salda</t>
  </si>
  <si>
    <t>produkčná medzera</t>
  </si>
  <si>
    <t>∆ zmena produkčnej medzery</t>
  </si>
  <si>
    <t>Krajiny</t>
  </si>
  <si>
    <t>Revízia štrukturálneho salda</t>
  </si>
  <si>
    <t>Nom saldo</t>
  </si>
  <si>
    <t>One offs</t>
  </si>
  <si>
    <t>ŠS</t>
  </si>
  <si>
    <t>Rozdiely</t>
  </si>
  <si>
    <t>PS</t>
  </si>
  <si>
    <t>DBP</t>
  </si>
  <si>
    <t>Vstupé dáta</t>
  </si>
  <si>
    <t>ZHRNUTIE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</si>
  <si>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</si>
  <si>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</si>
  <si>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</si>
  <si>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</si>
  <si>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</si>
  <si>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</si>
  <si>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</si>
  <si>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</si>
  <si>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</si>
  <si>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</si>
  <si>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</si>
  <si>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</si>
  <si>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</si>
  <si>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</si>
  <si>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</si>
  <si>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</si>
  <si>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</si>
  <si>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</si>
  <si>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</si>
  <si>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</si>
  <si>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</si>
  <si>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</si>
  <si>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</si>
  <si>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</si>
  <si>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</si>
  <si>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</si>
  <si>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</si>
  <si>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</si>
  <si>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EZ</t>
  </si>
  <si>
    <t>Graf 10</t>
  </si>
  <si>
    <t>úrokové náklady</t>
  </si>
  <si>
    <t>štrukturálne primárne saldo</t>
  </si>
  <si>
    <t>Priemerná mesačná mzda za hospodárstvo (nominálny rast)</t>
  </si>
  <si>
    <t>Poľnohospodárstvo</t>
  </si>
  <si>
    <t>2016Q3</t>
  </si>
  <si>
    <t>2016Q4</t>
  </si>
  <si>
    <t>2017Q1</t>
  </si>
  <si>
    <t>2017Q2</t>
  </si>
  <si>
    <t>zásoby a štat. disk</t>
  </si>
  <si>
    <t>EUR/GBP</t>
  </si>
  <si>
    <t>EUR/USD</t>
  </si>
  <si>
    <t>Brent (USD/bl)</t>
  </si>
  <si>
    <t>2016 S</t>
  </si>
  <si>
    <t>2020F</t>
  </si>
  <si>
    <t>Produkčná medzera     (% pot. HDP)</t>
  </si>
  <si>
    <t xml:space="preserve">národna metodika MF </t>
  </si>
  <si>
    <t>metodika EK s prognózou MF</t>
  </si>
  <si>
    <t>Produkčná medzera (podiel na potenciálnom produkte)</t>
  </si>
  <si>
    <t>Kompenzácie z toho:</t>
  </si>
  <si>
    <t>D.1</t>
  </si>
  <si>
    <t>Medzispotreba, z toho</t>
  </si>
  <si>
    <t>D.3p</t>
  </si>
  <si>
    <t>Naturálne sociálne transfery</t>
  </si>
  <si>
    <t>D.632</t>
  </si>
  <si>
    <t>Pozn. (+) zvýšenie príjmov a zníženie výdavkov</t>
  </si>
  <si>
    <t>Granty a transfery</t>
  </si>
  <si>
    <t>Spolu výdavky</t>
  </si>
  <si>
    <t>Nedaňové príjmy spolu</t>
  </si>
  <si>
    <t>P.11+P.12</t>
  </si>
  <si>
    <t>D.3P</t>
  </si>
  <si>
    <t>D.6P,D632</t>
  </si>
  <si>
    <t>50-53% HDP</t>
  </si>
  <si>
    <t>z toho: ŽSR + ŽSSK</t>
  </si>
  <si>
    <t>EA 28</t>
  </si>
  <si>
    <t>2016</t>
  </si>
  <si>
    <t>2017</t>
  </si>
  <si>
    <t>2018</t>
  </si>
  <si>
    <t>2019</t>
  </si>
  <si>
    <t>2020</t>
  </si>
  <si>
    <t>Rozdiel OS t a RVS t</t>
  </si>
  <si>
    <t>Rozdiel OS t a RVS t+1</t>
  </si>
  <si>
    <t>D.7p</t>
  </si>
  <si>
    <t>P.5L</t>
  </si>
  <si>
    <t>D.9p</t>
  </si>
  <si>
    <t>Spolu</t>
  </si>
  <si>
    <t>Cyklická zložka</t>
  </si>
  <si>
    <t>Jednorázové vplyvy</t>
  </si>
  <si>
    <t>EDP</t>
  </si>
  <si>
    <t>Odchýlka (1r)</t>
  </si>
  <si>
    <t>Odchýlka (2r)</t>
  </si>
  <si>
    <t>9.  Medziročná zmena primárneho výdavkového agregátu (8t-8t-1)</t>
  </si>
  <si>
    <t>11. Jednorazové opatrenia na príjmovej strane</t>
  </si>
  <si>
    <t>12. Jednorazové opatrenia na výdavkovej strane</t>
  </si>
  <si>
    <t>13. Metodické úpravy</t>
  </si>
  <si>
    <t>14. Nominálny rast agregátu výdavkov očisteného o príjmové opatrenia ((9t-10t)/8t-1)</t>
  </si>
  <si>
    <t xml:space="preserve">15. Reálny rast agregátu výdavkov očisteného o príjmové opatrenia </t>
  </si>
  <si>
    <t>16. Výdavkové pravidlo (znížená referenčná miera pot. rastu HDP)</t>
  </si>
  <si>
    <t>17. Odchýlka od výdavkového pravidla (16-15)</t>
  </si>
  <si>
    <t>Jednoročná odchýlka od výdavkového pravidla</t>
  </si>
  <si>
    <t>Dvojročná odchýlka od výdavkového pravidla</t>
  </si>
  <si>
    <t>Strednodobý potencial rastu HDP (EK metodika, 10r priemer)</t>
  </si>
  <si>
    <t>Reálny rast daňovo-odvodových príjmov (y-o-y)</t>
  </si>
  <si>
    <t>DRM</t>
  </si>
  <si>
    <t>Primárny výdavkový agregát</t>
  </si>
  <si>
    <t>Zmena v príjmoch z titulu diskrečných príjmových opatrení</t>
  </si>
  <si>
    <t>Nominálny rast agregátu výdavkov očisteného o príjmové opatrenia</t>
  </si>
  <si>
    <t xml:space="preserve">Reálny rast agregátu výdavkov očisteného o príjmové opatrenia </t>
  </si>
  <si>
    <t>Výdavkové pravidlo (znížená referenčná miera pot. rastu HDP)</t>
  </si>
  <si>
    <t>Odchýlka od výdavkového pravidla</t>
  </si>
  <si>
    <t>Saldo VS - rozpočet</t>
  </si>
  <si>
    <t>Vyššie odvody (D.61)</t>
  </si>
  <si>
    <t>Nižšie ostatné bežné transfery (D.7P)</t>
  </si>
  <si>
    <t>Nižšie dotácie (D.3P)</t>
  </si>
  <si>
    <t>Úspora na úrokových nákladoch (D.41P)</t>
  </si>
  <si>
    <t>Vyššia medzispotreba (P.2)</t>
  </si>
  <si>
    <t>Kompenzácie zamestnancov (D.1P)</t>
  </si>
  <si>
    <t>Vyššie výdavky verejného zdravotného poistenia (D.632P)</t>
  </si>
  <si>
    <t>Nižšie nedaňové príjmy (P.11+P.12+P.131+D.4)</t>
  </si>
  <si>
    <t>Saldo VS - očakávaná skutočnosť</t>
  </si>
  <si>
    <t>SK - nominal values</t>
  </si>
  <si>
    <t>SK - GDP (september)</t>
  </si>
  <si>
    <t>Priemer EÚ (28 krajín)</t>
  </si>
  <si>
    <t>V4 bez SK</t>
  </si>
  <si>
    <t>CR</t>
  </si>
  <si>
    <t>SK_HDP</t>
  </si>
  <si>
    <t>Podiel daní na HDP (% HDP)</t>
  </si>
  <si>
    <t>SR</t>
  </si>
  <si>
    <t>Sociálna poisťovňa (EAO+dlžné)</t>
  </si>
  <si>
    <t>menej škodlivé</t>
  </si>
  <si>
    <t>viac škodlivé</t>
  </si>
  <si>
    <t>Zdravotné poisťovne (EAO+dlžné)</t>
  </si>
  <si>
    <t>Daň z príjmu právnických osôb</t>
  </si>
  <si>
    <t>Daň z príjmu fyzických osôb</t>
  </si>
  <si>
    <t>bez ostatnych</t>
  </si>
  <si>
    <t>Daňová medzera na DPH (% potenciálneho výnosu)</t>
  </si>
  <si>
    <t>Indikátor efektivity výberu DPH  (v %)</t>
  </si>
  <si>
    <t>Efektívna daňová sadzba DPPO - výber dane na čistom (net) a hrubom (gross) prevádzkovom prebytku</t>
  </si>
  <si>
    <t>2016E</t>
  </si>
  <si>
    <t>EDS (hrubý PP, pravá os)</t>
  </si>
  <si>
    <t>EDS (čistý PP, ľavá os)</t>
  </si>
  <si>
    <t xml:space="preserve"> - Mzdy a platy</t>
  </si>
  <si>
    <t xml:space="preserve"> - Sociálne príspevky zamestnávateľov</t>
  </si>
  <si>
    <t>Ostatné bežné transfery</t>
  </si>
  <si>
    <t>TABUĽKA 5: Primárne štrukturálne saldo v metodike EK (% HDP)</t>
  </si>
  <si>
    <t>DPPO</t>
  </si>
  <si>
    <t>DPH</t>
  </si>
  <si>
    <t>Dane</t>
  </si>
  <si>
    <t>DPFO</t>
  </si>
  <si>
    <t>Sociálne odvody</t>
  </si>
  <si>
    <t>Zdravotné odvody</t>
  </si>
  <si>
    <t>Celková zmena</t>
  </si>
  <si>
    <t>Spolu príjmy</t>
  </si>
  <si>
    <t xml:space="preserve">*nezahrnuté v RVS 2018 – 2020 </t>
  </si>
  <si>
    <t>Saldo VS (ESA 2010, v mil. eur)</t>
  </si>
  <si>
    <t>ESA 95</t>
  </si>
  <si>
    <t>T0200</t>
  </si>
  <si>
    <t>Daňové príjmy</t>
  </si>
  <si>
    <t>D.2+D.5+D.91</t>
  </si>
  <si>
    <t>suma</t>
  </si>
  <si>
    <t>suma (D2+D5+D91)</t>
  </si>
  <si>
    <t>Dane z produkcie a dovozu</t>
  </si>
  <si>
    <t>T0200 (D2)</t>
  </si>
  <si>
    <t xml:space="preserve"> - Daň z pridanej hodnoty (spolu so zdrojmi EÚ)</t>
  </si>
  <si>
    <t xml:space="preserve">D.211 </t>
  </si>
  <si>
    <t>T0900</t>
  </si>
  <si>
    <t>T0900 (D211)</t>
  </si>
  <si>
    <t xml:space="preserve"> - Spotrebné dane</t>
  </si>
  <si>
    <t xml:space="preserve">D.2122C+D.214A </t>
  </si>
  <si>
    <t>T0900 (D2122C+D214A)</t>
  </si>
  <si>
    <t xml:space="preserve"> - Dovozné clo</t>
  </si>
  <si>
    <t xml:space="preserve">D.2121 </t>
  </si>
  <si>
    <t>T0900 (D2121)</t>
  </si>
  <si>
    <t xml:space="preserve"> - Dane z majetku a iné</t>
  </si>
  <si>
    <t xml:space="preserve">D.29A </t>
  </si>
  <si>
    <t>T0900 (D29A)</t>
  </si>
  <si>
    <t>T0200 (D5)</t>
  </si>
  <si>
    <t xml:space="preserve"> - Daň z príjmov fyzických osôb</t>
  </si>
  <si>
    <t xml:space="preserve">D.51A </t>
  </si>
  <si>
    <t>T0900 (D51A)</t>
  </si>
  <si>
    <t xml:space="preserve"> - zo závislej činnosti</t>
  </si>
  <si>
    <t>rozp. klasif. 111001</t>
  </si>
  <si>
    <t>RK 111001</t>
  </si>
  <si>
    <t xml:space="preserve"> - z podnikania a inej samostatnej zár. činnosti</t>
  </si>
  <si>
    <t>rozp. klasif. 111002</t>
  </si>
  <si>
    <t>RK111002</t>
  </si>
  <si>
    <t xml:space="preserve"> - Daň z príjmov právnických osôb</t>
  </si>
  <si>
    <t xml:space="preserve">D.51B </t>
  </si>
  <si>
    <t>T0900 (D51B)</t>
  </si>
  <si>
    <t xml:space="preserve"> - Daň z príjmov vyberaná zrážkou - rozp. klasif.</t>
  </si>
  <si>
    <t>D.51E</t>
  </si>
  <si>
    <t>T0900 (D51E)</t>
  </si>
  <si>
    <t xml:space="preserve"> - Daň z príjmov - emisie</t>
  </si>
  <si>
    <t>RK 191</t>
  </si>
  <si>
    <t>RK 191 (cash), akrualne dane z IFP</t>
  </si>
  <si>
    <t>D.59A</t>
  </si>
  <si>
    <t>T0900 (D59A)</t>
  </si>
  <si>
    <t>Dane z kapitálu</t>
  </si>
  <si>
    <t>T0200 (D91)</t>
  </si>
  <si>
    <t>suma, T0200 (D61)</t>
  </si>
  <si>
    <t>Skutočné príspevky na sociálne zabezpečenie</t>
  </si>
  <si>
    <t>D.611</t>
  </si>
  <si>
    <t>suma, T0900 (D611+D613)</t>
  </si>
  <si>
    <t xml:space="preserve"> - Príspevky zamestnávateľov</t>
  </si>
  <si>
    <t xml:space="preserve">D.6111 </t>
  </si>
  <si>
    <t>T0900 (D6111+D6112 = D611)</t>
  </si>
  <si>
    <t xml:space="preserve"> - Príspevky zamestnancov</t>
  </si>
  <si>
    <t xml:space="preserve">D.6112 </t>
  </si>
  <si>
    <t>T0900 (D613CE)</t>
  </si>
  <si>
    <t xml:space="preserve"> - Príspevky SZČO a nepracujúcich osôb</t>
  </si>
  <si>
    <t xml:space="preserve">D.6113 </t>
  </si>
  <si>
    <t>T0900 (D613CS+D613CN+D613V)</t>
  </si>
  <si>
    <t>Imputované príspevky na sociálne zabezpečenie</t>
  </si>
  <si>
    <t>D.612</t>
  </si>
  <si>
    <t>T0900 (D612)</t>
  </si>
  <si>
    <t>Nedaňové príjmy</t>
  </si>
  <si>
    <t>Tržby</t>
  </si>
  <si>
    <t>P.11, P.12, P.131</t>
  </si>
  <si>
    <t xml:space="preserve"> - Trhová produkcia + Produkcia pre vlastné konečné použitie</t>
  </si>
  <si>
    <t>T0200 (P1M)</t>
  </si>
  <si>
    <t xml:space="preserve"> - Platby za ostatnú netrhovú produkciu</t>
  </si>
  <si>
    <t>P.131</t>
  </si>
  <si>
    <t>T0200 (P131)</t>
  </si>
  <si>
    <t>Dôchodky z majetku, z ktorých</t>
  </si>
  <si>
    <t>D.4</t>
  </si>
  <si>
    <t>T0200 (D4)</t>
  </si>
  <si>
    <t xml:space="preserve"> - Dividendy</t>
  </si>
  <si>
    <t>D.421 rozp. klasif. 211003</t>
  </si>
  <si>
    <t>D.421 z dotazníka tab 10.1 riadok 46</t>
  </si>
  <si>
    <t>D.421 z dotazníka tab 10.1 riadok 49</t>
  </si>
  <si>
    <t xml:space="preserve"> - Úroky</t>
  </si>
  <si>
    <t>D.41</t>
  </si>
  <si>
    <t>od Antolíka ŠÚ SR</t>
  </si>
  <si>
    <t>T0200 (D41)</t>
  </si>
  <si>
    <t>D.39+D.7+D.9</t>
  </si>
  <si>
    <t>z toho: z EÚ</t>
  </si>
  <si>
    <t>rozp. klasif.</t>
  </si>
  <si>
    <t>RK 341 EU, ktoré ostávajú v schodku, FIN 1-12 za ŠR</t>
  </si>
  <si>
    <t>Ostatné subvencie ma produkciu</t>
  </si>
  <si>
    <t>D.39</t>
  </si>
  <si>
    <t>T0200 (D39R)</t>
  </si>
  <si>
    <t>D.7</t>
  </si>
  <si>
    <t>T0200 (D7)</t>
  </si>
  <si>
    <t>D.9</t>
  </si>
  <si>
    <t>T0200 (D9-D91)</t>
  </si>
  <si>
    <t>Bežné výdavky</t>
  </si>
  <si>
    <t>T0200 (D1)</t>
  </si>
  <si>
    <t xml:space="preserve">D.11 </t>
  </si>
  <si>
    <t>od Antolíka ŠÚ SR (D11)</t>
  </si>
  <si>
    <t xml:space="preserve">D.12 </t>
  </si>
  <si>
    <t>od Antolíka ŠÚ SR (D12)</t>
  </si>
  <si>
    <t>T0200 (P2)</t>
  </si>
  <si>
    <t>D.29+D.5</t>
  </si>
  <si>
    <t>T0200+T0200, lebo D.2 = D.29</t>
  </si>
  <si>
    <t>suma (D29+D5)</t>
  </si>
  <si>
    <t>Iné dane z produkcie</t>
  </si>
  <si>
    <t>D.29</t>
  </si>
  <si>
    <t>T0200 (D29)</t>
  </si>
  <si>
    <t>Bežné dane z majetku, atď.</t>
  </si>
  <si>
    <t>D.3</t>
  </si>
  <si>
    <t>T0200 (D3P)</t>
  </si>
  <si>
    <t xml:space="preserve"> - Dotácie do poľnohospodárstva</t>
  </si>
  <si>
    <t>644 - S3 EUOUT</t>
  </si>
  <si>
    <t>RK 644 COFOG 042 bez S3 EU OUT, zdroj ŠR a spolufinancovanie (len EU zdrojov)</t>
  </si>
  <si>
    <t xml:space="preserve"> - Dotácie do dopravy</t>
  </si>
  <si>
    <t>rozp. klasif. 644 a c045</t>
  </si>
  <si>
    <t>RK 644 z toho COFOG 045 bez S3 EU OUT</t>
  </si>
  <si>
    <t xml:space="preserve"> - železničná doprava</t>
  </si>
  <si>
    <t>rozp. klasif. 644 a c0453</t>
  </si>
  <si>
    <t>RK 644 z toho COFOG 0453 bez S3 EU OUT</t>
  </si>
  <si>
    <t xml:space="preserve"> - cestná doprava</t>
  </si>
  <si>
    <t>644 a c045-0453-0454</t>
  </si>
  <si>
    <t>RK 644 z toho COFOG 0451 bez S3 EU OUT</t>
  </si>
  <si>
    <t xml:space="preserve"> - Ostatné</t>
  </si>
  <si>
    <t>reziduál = Subsidies minus Agriultural Subsidies minus Transport Subsidies</t>
  </si>
  <si>
    <t>Dôchodky z majetku</t>
  </si>
  <si>
    <t>Ostatné dôchodky z majetku</t>
  </si>
  <si>
    <t>D.4N</t>
  </si>
  <si>
    <t>T0200 (D4N)</t>
  </si>
  <si>
    <t>D.6</t>
  </si>
  <si>
    <t>D6O = D62+D631, riadok 34 v T0200</t>
  </si>
  <si>
    <t>T0200 (D6M)</t>
  </si>
  <si>
    <t xml:space="preserve"> - Sociálne dávky okrem naturálnych soc. transferov</t>
  </si>
  <si>
    <t>D.62</t>
  </si>
  <si>
    <t>T0200 (D62)</t>
  </si>
  <si>
    <t xml:space="preserve"> - Aktívne opatrenia trhu práce</t>
  </si>
  <si>
    <t>rozp. klasif. 642032</t>
  </si>
  <si>
    <t>RK 642032 zo ŠR, bez EU peňazí</t>
  </si>
  <si>
    <t xml:space="preserve"> - Nemocenské dávky</t>
  </si>
  <si>
    <t>rozp. klasif. 642015</t>
  </si>
  <si>
    <t>RK 642015 z SP</t>
  </si>
  <si>
    <t xml:space="preserve"> - Dôchodkové dávky zo starobného a invalidného poistenia</t>
  </si>
  <si>
    <t>rozp. klasif. 642016+20</t>
  </si>
  <si>
    <t>RK 642016+RK 642020 z SP</t>
  </si>
  <si>
    <t>RK 642016+RK 642020 z SP + to isté z MRU</t>
  </si>
  <si>
    <t xml:space="preserve"> - Dávky v nezamestnanosti</t>
  </si>
  <si>
    <t>rozp. klasif. 642033</t>
  </si>
  <si>
    <t>RK 642033 z SP</t>
  </si>
  <si>
    <t xml:space="preserve"> - Štátne sociálne dávky a podpora</t>
  </si>
  <si>
    <t>rozp. klasif. 642018-42</t>
  </si>
  <si>
    <t>RK 642018 až RK 642027 + RK642037 až RK 642042 zo ŠR</t>
  </si>
  <si>
    <t xml:space="preserve"> - na prídavok na dieťa</t>
  </si>
  <si>
    <t>rozp. klasif. 642019</t>
  </si>
  <si>
    <t>RK 642019 zo ŠR</t>
  </si>
  <si>
    <t xml:space="preserve"> - na príspevok pri narodení dieťaťa a prísp. rodičom</t>
  </si>
  <si>
    <t>rozp. klasif. 642022</t>
  </si>
  <si>
    <t>RK 642022 zo ŠR</t>
  </si>
  <si>
    <t xml:space="preserve"> - na rodičovský príspevok</t>
  </si>
  <si>
    <t>rozp. klasif. 642041</t>
  </si>
  <si>
    <t>RK 642041 zo ŠR</t>
  </si>
  <si>
    <t xml:space="preserve"> - na dávku v hmotnej núdzi a príspevky k dávke</t>
  </si>
  <si>
    <t>rozp. klasif. 642026</t>
  </si>
  <si>
    <t>RK 642026 zo ŠR</t>
  </si>
  <si>
    <t xml:space="preserve"> - na peňažné príspevky na kompenzáciu</t>
  </si>
  <si>
    <t>rozp. klasif. 642027</t>
  </si>
  <si>
    <t>RK 642027 zo ŠR</t>
  </si>
  <si>
    <t>RK 642018 až RK 642027 + RK642037 až RK 642042 zo ŠR minus (RK 642019+22+41+26+27)</t>
  </si>
  <si>
    <t xml:space="preserve"> - Platené poistné za skupiny osôb ustanovené zákonom</t>
  </si>
  <si>
    <t>rozp. klasif. 642031</t>
  </si>
  <si>
    <t>RK 642031</t>
  </si>
  <si>
    <t xml:space="preserve"> - sociálne poistenie</t>
  </si>
  <si>
    <t>rozp. klasif. 642031 c10</t>
  </si>
  <si>
    <t>RK 642031 z kapitoly Ministerstva práce</t>
  </si>
  <si>
    <t xml:space="preserve"> - zdravotné poistenie</t>
  </si>
  <si>
    <t>v 642031 c07</t>
  </si>
  <si>
    <t>RK 642031 z kapitoly Ministerstva zdravotníctva</t>
  </si>
  <si>
    <t xml:space="preserve"> - Naturálne sociálne transfery (zdravotnícke zariadenia)</t>
  </si>
  <si>
    <t>D.631</t>
  </si>
  <si>
    <t>T0200 (D631M)</t>
  </si>
  <si>
    <t>T0200 (D632)</t>
  </si>
  <si>
    <t>z toho: Odvody do rozpočtu EÚ</t>
  </si>
  <si>
    <t>rozp. klasif. 649005</t>
  </si>
  <si>
    <t xml:space="preserve">RK 649005 </t>
  </si>
  <si>
    <t>z toho: 2% z daní na verejnoprospešný účel</t>
  </si>
  <si>
    <t>RK 111004+RK 112001</t>
  </si>
  <si>
    <t>Kapitálové výdavky</t>
  </si>
  <si>
    <t>Kapitálové investície</t>
  </si>
  <si>
    <t>P.5+K.2</t>
  </si>
  <si>
    <t>T0200+T0200</t>
  </si>
  <si>
    <t>suma, T0200(P5L)</t>
  </si>
  <si>
    <t xml:space="preserve"> - Tvorba hrubého fixného kapitálu</t>
  </si>
  <si>
    <t>P.51</t>
  </si>
  <si>
    <t>T0200 (P51G)</t>
  </si>
  <si>
    <t xml:space="preserve"> - Zmena stavu zásob a nadobudnutie mínus úbytok cenností</t>
  </si>
  <si>
    <t>P.52+P.53</t>
  </si>
  <si>
    <t>T0200 (P5N)</t>
  </si>
  <si>
    <t>T0200 (P5M)</t>
  </si>
  <si>
    <t xml:space="preserve"> - Nadobudnutie mínus úbytok nefinančných neprodukovaných aktív</t>
  </si>
  <si>
    <t>K.2</t>
  </si>
  <si>
    <t>T0200 (NP)</t>
  </si>
  <si>
    <t>T0200 (D9)</t>
  </si>
  <si>
    <t xml:space="preserve"> - Investičné dotácie a ostatné kapitálové transfery</t>
  </si>
  <si>
    <t>D.92+D.99</t>
  </si>
  <si>
    <t>T0200, D.92+D.99=D9</t>
  </si>
  <si>
    <t>Čisté pôžičky poskytnuté / prijaté</t>
  </si>
  <si>
    <r>
      <t>TFP</t>
    </r>
    <r>
      <rPr>
        <b/>
        <vertAlign val="superscript"/>
        <sz val="10"/>
        <color theme="1"/>
        <rFont val="Arial Narrow"/>
        <family val="2"/>
        <charset val="238"/>
      </rPr>
      <t>*</t>
    </r>
  </si>
  <si>
    <t>Likvidné finančné aktíva</t>
  </si>
  <si>
    <t>2017Q3</t>
  </si>
  <si>
    <t>2017Q4</t>
  </si>
  <si>
    <t>2018Q1</t>
  </si>
  <si>
    <t>2018Q2</t>
  </si>
  <si>
    <t>2021F</t>
  </si>
  <si>
    <t>Program Stability 2018-2021</t>
  </si>
  <si>
    <t>2017 S</t>
  </si>
  <si>
    <t>Návrh rozpočtového plánu na rok 2019</t>
  </si>
  <si>
    <t>odhad EK jarná prognóza 2018</t>
  </si>
  <si>
    <t>Domáce pálenice</t>
  </si>
  <si>
    <t>Licencie v hazarde + zmena zdanenia hazardu</t>
  </si>
  <si>
    <t>Daň z poistného</t>
  </si>
  <si>
    <t>Zvýšenie odplaty za poskytovanie služieb (EOSA)</t>
  </si>
  <si>
    <t>Identifikačná látka na pohoné hmoty + eKasa</t>
  </si>
  <si>
    <t>Zavedenie 13. a 14. plat</t>
  </si>
  <si>
    <t>Oslobodenie príjmov z predaja akcií a obchodných podielov</t>
  </si>
  <si>
    <t>Odvod z reťazcov</t>
  </si>
  <si>
    <t>Zákon o sociálnom poistení - ročné zúčtovanie</t>
  </si>
  <si>
    <t>Zrušenie OOP pre zamestnávateľa</t>
  </si>
  <si>
    <t>Poplatok za uloženie odpadu</t>
  </si>
  <si>
    <t>Nárast odvodu od vlastníkov JEZ</t>
  </si>
  <si>
    <t>Valorizácia 10 % a mzdové opatrenia</t>
  </si>
  <si>
    <t>Kapitálové výdavky, z toho:</t>
  </si>
  <si>
    <r>
      <t>Výdavky v poľnohospodárstve spojené s osobitným odvodom reťazcov</t>
    </r>
    <r>
      <rPr>
        <sz val="10"/>
        <color theme="1"/>
        <rFont val="Arial Narrow"/>
        <family val="2"/>
        <charset val="238"/>
      </rPr>
      <t> </t>
    </r>
  </si>
  <si>
    <t>Príjmy VS</t>
  </si>
  <si>
    <t>Výdavky VS</t>
  </si>
  <si>
    <t>Rezerva na riešenie vplyvov nových zákonných úprav</t>
  </si>
  <si>
    <t>Nástroj na prepájanie Europy (CEF)</t>
  </si>
  <si>
    <t>Zmena cyklickej zložky</t>
  </si>
  <si>
    <t>Zmena nominálneho salda</t>
  </si>
  <si>
    <t>Zmena jednorazových opatrení</t>
  </si>
  <si>
    <t>V3 2016</t>
  </si>
  <si>
    <t>R 2018</t>
  </si>
  <si>
    <t>Vyššie daňové príjmy (D.2+D.5+D.91)</t>
  </si>
  <si>
    <t>Vyššie granty a transfery (D.39+D.7R+D.9R)</t>
  </si>
  <si>
    <t>Vyššie kapitálové transfery (D.9P)</t>
  </si>
  <si>
    <t>Vyššie kapitálové investície (P.5L)</t>
  </si>
  <si>
    <t>GRAF 11 - Analytický opis vývoja salda verejnej správy v roku 2018 (ESA 2010), príspevky v mil. eur</t>
  </si>
  <si>
    <t>TABUĽKA 3 - Porovnanie s programom stability</t>
  </si>
  <si>
    <t>2018*</t>
  </si>
  <si>
    <t>2019 NRVS</t>
  </si>
  <si>
    <t>2020 NRVS</t>
  </si>
  <si>
    <t>2021 NRVS</t>
  </si>
  <si>
    <t>MTO*</t>
  </si>
  <si>
    <t>2018***</t>
  </si>
  <si>
    <t>* Odchýlka do 0,25 % HDP od cieleného MTO je interpretovaná ako splnenie MTO ex-post (z pohľadu medziročného konsolidačného úsilia dochádza k odchýlkam 0,1  resp. 0,3 % HDP na jednoročnom resp. dvojročnom horizonte)</t>
  </si>
  <si>
    <t>** Údaje sú zaokrúhľované na jedno desatinné miesto</t>
  </si>
  <si>
    <t>** V roku 2018 očisťujeme celkové výdavky o oddlžovanie nemocníc vo výške 187 mil. eur z dôvodu,  že nemá vplyv na saldo verejných financií, avšak navyšuje celkové výdavky.</t>
  </si>
  <si>
    <t>Jednoročná odchýlka od výdavkového pravidla*</t>
  </si>
  <si>
    <t>Dvojročná odchýlka od výdavkového pravidla*</t>
  </si>
  <si>
    <t>TABUĽKA 7 - Hotovostné vplyv na zmenu nominálneho hrubého dlhu verejnej správy (v mil. eur)</t>
  </si>
  <si>
    <t>- hotovostný deficit ŠR</t>
  </si>
  <si>
    <t>- prostriedky ŠP využité na financovanie hotovostného deficitu ŠR</t>
  </si>
  <si>
    <t>- zadlženie ostatných subjektov VS</t>
  </si>
  <si>
    <t>z toho: Samospráva (obce a VÚC)</t>
  </si>
  <si>
    <t>- príspevok SR do EFSF a ESM</t>
  </si>
  <si>
    <t>- emisný diskont</t>
  </si>
  <si>
    <t>- diskont pri splatnosti</t>
  </si>
  <si>
    <t>- ostatné</t>
  </si>
  <si>
    <t>D. Zmena hrubého dlhu oproti Programu stability (p.b.)</t>
  </si>
  <si>
    <t xml:space="preserve">z toho:  príspevok zmeny prognózy nom. HDP </t>
  </si>
  <si>
    <t xml:space="preserve">             príspevok zmeny prognózy nom. dlhu</t>
  </si>
  <si>
    <t>TABUĽKA 8 - Hrubý dlh verejnej správy (% HDP, ESA 2010, stav k 31.12.)</t>
  </si>
  <si>
    <t xml:space="preserve"> - dlh ostatných subjektov verejnej správy</t>
  </si>
  <si>
    <t>TABUĽKA 9 - Porovnanie bilancie výdavkov a príjmov a NPC v 2019 až 2021 (% HDP)</t>
  </si>
  <si>
    <t>NRVS</t>
  </si>
  <si>
    <t>Ostatné*</t>
  </si>
  <si>
    <t>NRVS-NPC</t>
  </si>
  <si>
    <t>z toho: Dávky v nezamestnanosti</t>
  </si>
  <si>
    <t>Ostatné**</t>
  </si>
  <si>
    <t>Saldo verejnej správy</t>
  </si>
  <si>
    <t>Pozn.: * P.11+P.12+P131+D.39rec+D.7rec+D.9rec (iné ako D.91rec)</t>
  </si>
  <si>
    <t>** D.29p+D.5p+D.7p+NP</t>
  </si>
  <si>
    <t>TABUĽKA 10 - Zoznam jednorazových opatrení v roku 2018 pre potreby NPC (ESA 2010, mil. eur a v % HDP)</t>
  </si>
  <si>
    <t xml:space="preserve">ESA 2010 </t>
  </si>
  <si>
    <t>Výstavba národného futbalového štadióna</t>
  </si>
  <si>
    <t>Rezerva na významné investície</t>
  </si>
  <si>
    <t>P.51g/NP</t>
  </si>
  <si>
    <t xml:space="preserve">Oddlženie zdravotníckych zariadení </t>
  </si>
  <si>
    <t>p. m. objem jednorazových opatrení v Programe stability</t>
  </si>
  <si>
    <t>TABUĽKA 11 - Rozdiely medzi saldom PS 2018 a DBP 2019 v NPC scenári (v % HDP)</t>
  </si>
  <si>
    <t>v mil. EUR</t>
  </si>
  <si>
    <t>TABUĽKA 12 - Rozdiely medzi PS 2018 a DBP 2019 v NPC scenári (mil. EUR)</t>
  </si>
  <si>
    <t>2018 báza</t>
  </si>
  <si>
    <t>2019 NPC</t>
  </si>
  <si>
    <t>2020 NPC</t>
  </si>
  <si>
    <t>2021 NPC</t>
  </si>
  <si>
    <t>z toho: daňové príjmy</t>
  </si>
  <si>
    <t>z toho: príspevky na sociálne zabezpečenie</t>
  </si>
  <si>
    <t xml:space="preserve">z toho: nedaňové príjmy </t>
  </si>
  <si>
    <t>z toho: granty a transfery</t>
  </si>
  <si>
    <t>z toho: bežné výdavky</t>
  </si>
  <si>
    <t>z toho: kapitálové výdavky</t>
  </si>
  <si>
    <t>TABUĽKA 15 - Celková potreba opatrení na dosiahnutie fiškálnych cieľov voči NPC (ESA2010, % HDP)</t>
  </si>
  <si>
    <t>1. Saldo verejnej správy - NRVS</t>
  </si>
  <si>
    <t>2. Saldo verejnej správy - Scenár NPC</t>
  </si>
  <si>
    <t>TABUĽKA 2: Prognóza vybraných indikátorov vývoja ekonomiky SR</t>
  </si>
  <si>
    <t xml:space="preserve">GRAF 37: Porovnanie výdavkov verejnej správy podľa klasifikácie COFOG (zmeny v p. b. HDP) </t>
  </si>
  <si>
    <t>TABUĽKA 14: Výdavky verejnej správy podľa klasifikácie COFOG</t>
  </si>
  <si>
    <t>GRAF 35: Porovnanie vývoja výdavkov VS (% HDP)</t>
  </si>
  <si>
    <t>GRAF 36: Porovnanie vývoja kapitálových výdavkov VS (% HDP)</t>
  </si>
  <si>
    <t>EA19 2016</t>
  </si>
  <si>
    <t>SK 2016</t>
  </si>
  <si>
    <t>HDP - MV september 2018</t>
  </si>
  <si>
    <t>R 2019</t>
  </si>
  <si>
    <t>NRVS SK 2019</t>
  </si>
  <si>
    <t>NRVS SK 2021</t>
  </si>
  <si>
    <t>R 2021</t>
  </si>
  <si>
    <t>Zmena OS- RVS</t>
  </si>
  <si>
    <t>Daňové zaťaženie (2)</t>
  </si>
  <si>
    <t>GRAF 19 - Hrubý dlh verejnej správy (% HDP)</t>
  </si>
  <si>
    <t>Dlhový strop</t>
  </si>
  <si>
    <t>Požiadavka vyrovnaného rozpočtu</t>
  </si>
  <si>
    <t>Zmrazenie výdavkov</t>
  </si>
  <si>
    <t>List ministra financii s opatreniami</t>
  </si>
  <si>
    <t>Hrubý dlh VS (maastrichtský)</t>
  </si>
  <si>
    <t>Ostatné subjekty VS</t>
  </si>
  <si>
    <t>ESFS + ESM</t>
  </si>
  <si>
    <t>Štátny dlh</t>
  </si>
  <si>
    <t>Štátne záruky</t>
  </si>
  <si>
    <t>Záväzky mimo súvahy štátu  (PPP)</t>
  </si>
  <si>
    <t>Záväzky štátnych podnikov mimo VS</t>
  </si>
  <si>
    <t>Nesplácané úvery</t>
  </si>
  <si>
    <t>Jednorazové</t>
  </si>
  <si>
    <t>Štandardné</t>
  </si>
  <si>
    <t>Finančný sektor</t>
  </si>
  <si>
    <t>Ostatné</t>
  </si>
  <si>
    <t>Celkom</t>
  </si>
  <si>
    <t>Malta</t>
  </si>
  <si>
    <t>Cyprus</t>
  </si>
  <si>
    <t>TABUĽKA 1: Produkčná medzera a príspevky faktorov k rastu potenciálneho produktu – prístup MF SR</t>
  </si>
  <si>
    <t>GRAF 23 - Poskytnuté vládne záruky (% HDP, 2016)</t>
  </si>
  <si>
    <t>n/a</t>
  </si>
  <si>
    <t>GRAF 24 - Záväzky štátu mimo súvahy (% HDP, 2016)</t>
  </si>
  <si>
    <t>GRAF 25 - Záväzky štátnych podnikov (% HDP, 2016)</t>
  </si>
  <si>
    <t>GRAF 26 - Záväzky z nesplácaných úverov (% HDP, 2016)</t>
  </si>
  <si>
    <t>GRAF 29 - Podiel daní na HDP (% HDP)</t>
  </si>
  <si>
    <t>Daňová medzera podľa EK</t>
  </si>
  <si>
    <t>Daňová medzera podľa MFSR</t>
  </si>
  <si>
    <t>GRAF 31 - Daňová medzera na DPH (% potenciálneho výnosu)</t>
  </si>
  <si>
    <t>Romania</t>
  </si>
  <si>
    <t>RO</t>
  </si>
  <si>
    <t>Finland</t>
  </si>
  <si>
    <t>FI</t>
  </si>
  <si>
    <t>United Kingdom</t>
  </si>
  <si>
    <t>UK</t>
  </si>
  <si>
    <t>Ireland</t>
  </si>
  <si>
    <t>IE</t>
  </si>
  <si>
    <t>Estonia</t>
  </si>
  <si>
    <t>EE</t>
  </si>
  <si>
    <t>France</t>
  </si>
  <si>
    <t>FR</t>
  </si>
  <si>
    <t>Greece</t>
  </si>
  <si>
    <t>EL</t>
  </si>
  <si>
    <t>Slovenia</t>
  </si>
  <si>
    <t>SI</t>
  </si>
  <si>
    <t>Italy</t>
  </si>
  <si>
    <t>IT</t>
  </si>
  <si>
    <t>Austria</t>
  </si>
  <si>
    <t>AT</t>
  </si>
  <si>
    <t>MT</t>
  </si>
  <si>
    <t>Lithuania</t>
  </si>
  <si>
    <t>LT</t>
  </si>
  <si>
    <t>Germany</t>
  </si>
  <si>
    <t>DE</t>
  </si>
  <si>
    <t>Belgium</t>
  </si>
  <si>
    <t>BE</t>
  </si>
  <si>
    <t>Spain</t>
  </si>
  <si>
    <t>ES</t>
  </si>
  <si>
    <t>Luxembourg</t>
  </si>
  <si>
    <t>LU</t>
  </si>
  <si>
    <t>Denmark</t>
  </si>
  <si>
    <t>DK</t>
  </si>
  <si>
    <t>Sweden</t>
  </si>
  <si>
    <t>SE</t>
  </si>
  <si>
    <t>Portugal</t>
  </si>
  <si>
    <t>PT</t>
  </si>
  <si>
    <t>Croatia</t>
  </si>
  <si>
    <t>HR</t>
  </si>
  <si>
    <t>Slovakia</t>
  </si>
  <si>
    <t>Netherlands</t>
  </si>
  <si>
    <t>NL</t>
  </si>
  <si>
    <t>CY</t>
  </si>
  <si>
    <t>Latvia</t>
  </si>
  <si>
    <t>LV</t>
  </si>
  <si>
    <t>Bulgaria</t>
  </si>
  <si>
    <t>BG</t>
  </si>
  <si>
    <t>GRAF 33 - Efektívna daňová sadzba DPPO (výber dane na čistom a hrubom prevádzkovom prebytku)</t>
  </si>
  <si>
    <t>Horná hranica intervalu</t>
  </si>
  <si>
    <t>Dolná hranica intervalu</t>
  </si>
  <si>
    <t>Najvyššia miera rizika</t>
  </si>
  <si>
    <t>GRAF 34 - Odhad daňovej medzery v rokoch 2008 až 2017, % z potenciálneho výnosu pohonných látok</t>
  </si>
  <si>
    <t>GRAF 27: Porovnanie vývoja príjmov VS (% HDP)</t>
  </si>
  <si>
    <t>GRAF 28 - Porovnanie vývoja daní a odvodov VS (% HDP)</t>
  </si>
  <si>
    <t>2021</t>
  </si>
  <si>
    <t>GRAF 38: Kvartálny vývoj miery nezamestnanosti podľa VZPS (% aktívnej pop., sezónne očistené údaje)</t>
  </si>
  <si>
    <t>GRAF 39: Dlhodobá nezamestnanosť (%, 2Q 2016, 2Q 2017)</t>
  </si>
  <si>
    <t>GRAF 3: Príspevky k rastu HDP - štvrťročne (p.b.)</t>
  </si>
  <si>
    <t>GRAF 4: Príspevky k rastu HDP - prognóza (p.b.)</t>
  </si>
  <si>
    <t>2014 S</t>
  </si>
  <si>
    <t>Graf 20: Príspevky faktorov k zmene hrubého dlhu (% HDP)</t>
  </si>
  <si>
    <t>Graf 21: Čistý dlh (% HDP)</t>
  </si>
  <si>
    <t>1Q 2017 - ľavá os</t>
  </si>
  <si>
    <t>1Q 2018 - ľavá os</t>
  </si>
  <si>
    <t>% podiel na celk. miere nezamestnanosti (1Q 2017)</t>
  </si>
  <si>
    <t>% podiel na celk. miere nezamestnanosti (1Q 2018)</t>
  </si>
  <si>
    <t>Reálna rovnovážna sadzba</t>
  </si>
  <si>
    <t>Dlhodobé inflačné očakávania</t>
  </si>
  <si>
    <t>10-ročný výnos</t>
  </si>
  <si>
    <t>GRAF 22 - Odhady dlhodobých inflačných očakávaní a rovnovážnej reálnej úrokovej sadzby</t>
  </si>
  <si>
    <t>Dátum</t>
  </si>
  <si>
    <t>GRAF 5: Príspevky odvetví k rastu zamestnanosti (p.b.)</t>
  </si>
  <si>
    <t>GRAF 6: Príspevky k inflácii (p.b.)</t>
  </si>
  <si>
    <t xml:space="preserve">TABUĽKA 4: Konsolidačné úsilie v metodike EK (ESA 2010, % HDP) </t>
  </si>
  <si>
    <t>GRAF 15: Porovnanie štrukturálneho salda podľa Programu stability a Návrhu rozpočtového plánu</t>
  </si>
  <si>
    <t>GRAF 16: Príspevky faktorov k revízii štrukturálneho salda</t>
  </si>
  <si>
    <t>GRAF 17 - Vývoj výdavkového agregátu oproti výdavkovému pravidlu (% nárast)</t>
  </si>
  <si>
    <t>GRAF 18 - Vývoj daňovo-odvodových príjmov oproti potenciálnemu rastu HDP (% nárast)</t>
  </si>
  <si>
    <t>TABUĽKA 13: Opatrenia zahrnuté v návrhu rozpočtu verejnej správy (ESA 2010, porovnanie voči NPC)</t>
  </si>
  <si>
    <t>GRAF 30 - Zdanenie ekonomických faktorov (2016,%)</t>
  </si>
  <si>
    <t>Zdanenie ekonomických faktorov (2016,%)</t>
  </si>
  <si>
    <t>spolu</t>
  </si>
  <si>
    <t>Práca</t>
  </si>
  <si>
    <t>Spotreba</t>
  </si>
  <si>
    <t>Kapitál</t>
  </si>
  <si>
    <t>Vplyv makroekonomického vývoja</t>
  </si>
  <si>
    <t>Vplyv efektívnych daňových sadzieb</t>
  </si>
  <si>
    <t>Vplyv legislatívy</t>
  </si>
  <si>
    <t>Jednorazový vplyv</t>
  </si>
  <si>
    <t>Jednorazové sociálne odvody</t>
  </si>
  <si>
    <r>
      <t>*</t>
    </r>
    <r>
      <rPr>
        <sz val="10"/>
        <color theme="1"/>
        <rFont val="Arial Narrow"/>
        <family val="2"/>
        <charset val="238"/>
      </rPr>
      <t xml:space="preserve"> 2018 – priebežný monitoring plnenia RVS 2018</t>
    </r>
  </si>
  <si>
    <r>
      <t xml:space="preserve">*** </t>
    </r>
    <r>
      <rPr>
        <sz val="10"/>
        <color theme="1"/>
        <rFont val="Arial Narrow"/>
        <family val="2"/>
        <charset val="238"/>
      </rPr>
      <t>2018 – priebežný monitoring plnenia RVS 2018</t>
    </r>
  </si>
  <si>
    <r>
      <t>*</t>
    </r>
    <r>
      <rPr>
        <sz val="10"/>
        <color theme="1"/>
        <rFont val="Arial Narrow"/>
        <family val="2"/>
        <charset val="238"/>
      </rPr>
      <t>**2018 – priebežný monitoring plnenia RVS 2018</t>
    </r>
  </si>
  <si>
    <r>
      <t>*</t>
    </r>
    <r>
      <rPr>
        <i/>
        <sz val="10"/>
        <color theme="1"/>
        <rFont val="Arial Narrow"/>
        <family val="2"/>
        <charset val="238"/>
      </rPr>
      <t xml:space="preserve"> 2018 – priebežný monitoring plnenia RVS 2018</t>
    </r>
  </si>
  <si>
    <r>
      <t>320</t>
    </r>
    <r>
      <rPr>
        <sz val="10"/>
        <rFont val="Arial Narrow"/>
        <family val="2"/>
        <charset val="238"/>
      </rPr>
      <t>  </t>
    </r>
  </si>
  <si>
    <t>Makroekonomické predpoklady návrhu rozpočtu</t>
  </si>
  <si>
    <t>Aktuálny vývoj verejných financií</t>
  </si>
  <si>
    <t>Prognóza hrubého dlhu verejnej správy</t>
  </si>
  <si>
    <t>Saldo verejnej správy v scenári nezmenených politík a opis rozpočtových opatrení</t>
  </si>
  <si>
    <t>Naviazanie rozpočtového plánu na ciele stratégie rastu a zamestnanosti a špecifické odporúčania Rady EÚ</t>
  </si>
  <si>
    <t>Prílohy</t>
  </si>
  <si>
    <t>Popis</t>
  </si>
  <si>
    <t>Zníženie sadzby bankového odvodu od roku 2015, plánované zrušenie od roku 2017</t>
  </si>
  <si>
    <t/>
  </si>
  <si>
    <t>Odvodová odpočítateľná položka</t>
  </si>
  <si>
    <t>Zmena uplatňovania OOP</t>
  </si>
  <si>
    <t>Zvýšenie počtu cigariet v balení z 19 na 20 od 1.3.2016</t>
  </si>
  <si>
    <t>Zdaňovanie cigár a cigariek podľa hmotnosti</t>
  </si>
  <si>
    <t>DPPO - zníženie sadzby na 21%</t>
  </si>
  <si>
    <t>Zvýšenie odplaty za poskytovanie služieb - EOSA</t>
  </si>
  <si>
    <t>Zdvojnásobenie sadzby OO v regulovaných odvetviach, úprava podmienok, pokles v 2019</t>
  </si>
  <si>
    <t>Zvýšenie spotrebnej dane z tabakových výrobkov od 1.2.2017 a 1.2.2019</t>
  </si>
  <si>
    <t>Ponechanie sadzby OO finančných inštitúcií na 0.2%</t>
  </si>
  <si>
    <t>OO finančných inštitúcií - zrušenie od 2021</t>
  </si>
  <si>
    <t>Zrušenie zdravotných odvodov z dividend</t>
  </si>
  <si>
    <t>Zdaňovanie dividend - 7% zrážková daň</t>
  </si>
  <si>
    <t>Ďalšie - úročenie zadržaných NO, efektívnejšia správa daní</t>
  </si>
  <si>
    <t>Oslobodenie od DPPO príjmov Rady pre riešenie krízových situácii</t>
  </si>
  <si>
    <t>Paušálne výdavky pre SZČO - 60%, max. 20 tis. eur</t>
  </si>
  <si>
    <t>Zrušenie MVZ pre zdravotné poistenie</t>
  </si>
  <si>
    <t>Zvýšenie MVZ pre sociálne odvody</t>
  </si>
  <si>
    <t>Zrušenie daňovej licencie</t>
  </si>
  <si>
    <t xml:space="preserve">Zvýšenie sadzieb dani z nehnuteľností </t>
  </si>
  <si>
    <t>Neživotné poistenie (8% odvod) - zavedenie a zrušenie</t>
  </si>
  <si>
    <t>Poplatok za rozvoj</t>
  </si>
  <si>
    <t>Vyššie príjmy z hazardu (zmena výšky odvodov)</t>
  </si>
  <si>
    <t>Rast odvodu do II. piliera (automaticky od 2017 o 0,25 p.b./rok)</t>
  </si>
  <si>
    <t>Zvýšenie odpočtu výdavkov na vedu a výskum</t>
  </si>
  <si>
    <t>Zavedenie samostatného odpisovania technického zhodnotenia</t>
  </si>
  <si>
    <t>Zavedenie nezdaniteľnej časti na kúpeľnú starostlivosť</t>
  </si>
  <si>
    <t>Spotrebná daň z poistného</t>
  </si>
  <si>
    <t>Oslobodenie od SO z dohôd dôchodcov od 1.7.2018</t>
  </si>
  <si>
    <t>Zavedenie 13. a 14. plat od 1.5.2018</t>
  </si>
  <si>
    <t>Skrátenie doby odpisovania zo 40 na 20 rokov</t>
  </si>
  <si>
    <t>Oslobodenie príjmov z reklám neziskových organizácií</t>
  </si>
  <si>
    <t>Zákon o sociálnom poistení - Ročné zúčtovanie</t>
  </si>
  <si>
    <t>Domáce pálenie</t>
  </si>
  <si>
    <t>Odvod z reťazcov (čistý vplyv vrátane výpadku DPPO)</t>
  </si>
  <si>
    <t>Ekasa a Nanomarkery</t>
  </si>
  <si>
    <t>Kúpeľníctvo - zmena odpisovania</t>
  </si>
  <si>
    <t>Zvýšenie efektívnosti výberu DPH</t>
  </si>
  <si>
    <t>Diskrečné opatrenia – medziročné vplyvy opatrení (mil. eur, ESA2010)</t>
  </si>
  <si>
    <t>Graf 1 + 2 - Štrukturálne saldo + Hrubý dlh VS</t>
  </si>
  <si>
    <t>Graf 5 + 6 - Príspevky odvetví k rastu zamestnanosti + Príspevky k inflácii</t>
  </si>
  <si>
    <t>Graf 7 + 8 - Kurz EUR voči USD + Vývoj cien ropy Brent</t>
  </si>
  <si>
    <t>Obsah - Návrh rozpočtového plánu Slovenskej republiky na rok 2019</t>
  </si>
  <si>
    <t>Tabuľka 2 - Prognóza vybraných indikátorov vývoja ekonomiky SR</t>
  </si>
  <si>
    <t>Graf 11 - Rozdiely v aktuálnom odhade salda VS v roku 2018 oproti predpokladom rozpočtu</t>
  </si>
  <si>
    <t>Tabuľka 3 - Porovnanie s Programom stability</t>
  </si>
  <si>
    <t>Tabuľka 4 - Konsolidačné úsilie</t>
  </si>
  <si>
    <t>Graf 15 + 16 - Porovnanie štrukturálneho salda + Príspevky faktorov k revízii štrukturálneho salda</t>
  </si>
  <si>
    <t>Graf 3 + 4 - Príspevky k rastu HDP</t>
  </si>
  <si>
    <t>Graf 10 - Porovnanie prognóz makroekonomických základní4 pre rozpočtové príjmy s členmi výboru</t>
  </si>
  <si>
    <t>Graf 12 - Príspevky k zmene prognózy oproti rozpočtu VS na roky 2017 a 2018</t>
  </si>
  <si>
    <t>Tab 6 + Graf 17 + 18 - Plnenie výdavkového pravidla</t>
  </si>
  <si>
    <t>Graf 19 - Hrubý dlh verejnej správy</t>
  </si>
  <si>
    <t>Tabuľka 8 - Hrubý dlh verejnej správy</t>
  </si>
  <si>
    <t>Tabuľka 7 - Hotovostné vplyvy na zmenu nominálneho hrubého dlhu</t>
  </si>
  <si>
    <t>Graf 20 - Príspevky k zmene hrubého dlhu</t>
  </si>
  <si>
    <t xml:space="preserve">Graf 21 - Čistý dlh </t>
  </si>
  <si>
    <t>Graf 22 - Odhady dlhodobých inflačných očakávaní a rovnovážnej reálnej úrokovej sadzby</t>
  </si>
  <si>
    <t>Graf 13 + 14 _ Tab 5 - Fiškálna pozícia Slovenska</t>
  </si>
  <si>
    <t>Graf 9_ Tabuľka 1 - Vývoj produkčnej medzery + Produkčná medzera a príspevky faktorov k rastu potenciálneho produktu</t>
  </si>
  <si>
    <t>Tabuľka 9 - Porovnanie bilancie výdavkov a príjmov a NPC v 2019 až 2021</t>
  </si>
  <si>
    <t>Tabuľka 13 - Opatrenia zahrnuté v návrhu rozpočtu verejnej správy</t>
  </si>
  <si>
    <t>Graf 27 + 28 - Porovnanie vývoja príjmov VS + Porovnanie vývoja daní a odvodov VS</t>
  </si>
  <si>
    <t>Graf 29 + 30 - Podiel daní na HDP + Zdanenie ekonomických faktorov</t>
  </si>
  <si>
    <t>Graf 33 + 34 - Efektívna daňová sadzba DPPO + Odhad daňovej medzery v rokoch 2008 až 2017</t>
  </si>
  <si>
    <t>Graf 31 + 32 - Daňová medzera na DPH + Zmena daňovej medzery na DPH v EÚ</t>
  </si>
  <si>
    <t>Graf 35 + 36 - Vývoj výdavkov VS + Vývoj kapitálových výdavkov VS</t>
  </si>
  <si>
    <t>Graf 37 + Tabuľka 14 - Výdavky verejnej správy podľa klasifikácie COFOG</t>
  </si>
  <si>
    <t>Tabuľka 15 - Celková potreba opatrení na dosiahnutie fiškálnych cieľov voči NPC</t>
  </si>
  <si>
    <t>Graf 38 + 39 - Kvartálny vývoj miery nezamestnanosti podľa VZPS + Dlhodobá nezamestnanosť</t>
  </si>
  <si>
    <t xml:space="preserve">Diskrečné príjmové opatrenia </t>
  </si>
  <si>
    <t>**** Hodnoty do roku 2017 sú zamrazené v súlade s prístupom EK podľa jarnej prognózy 2018.</t>
  </si>
  <si>
    <t>3,63**</t>
  </si>
  <si>
    <t>* Hodnoty do roku 2017 sú zamrazené v súlade s prístupom EK podľa jarnej prognózy 2018.</t>
  </si>
  <si>
    <t>Konečná spotreba domácností a NISD</t>
  </si>
  <si>
    <t xml:space="preserve">Konečná spotreba verejnej správy </t>
  </si>
  <si>
    <t xml:space="preserve">Tvorba hrubého fixného kapitálu </t>
  </si>
  <si>
    <t xml:space="preserve">Export tovarov a služieb </t>
  </si>
  <si>
    <t xml:space="preserve">Import tovarov a služieb </t>
  </si>
  <si>
    <t>Graf 23 + 24 + 25 + 26 - Podmienené záväzky v Európskej únii</t>
  </si>
  <si>
    <t>Tabuľka 10 + 11 + 12 - Jednorazové opatrenia v NPC scenári</t>
  </si>
  <si>
    <t>EUR/JPY (right axis)</t>
  </si>
  <si>
    <t>prognosis 8:2016</t>
  </si>
  <si>
    <t>prognosis 1:2017</t>
  </si>
  <si>
    <t>prognosis 6:2017</t>
  </si>
  <si>
    <t>prognosis 9:2017</t>
  </si>
  <si>
    <t>prognosis 1:2018</t>
  </si>
  <si>
    <t>prognosis 6:2018</t>
  </si>
  <si>
    <t>prognosis 9:2018</t>
  </si>
  <si>
    <t>Eurozone average (19 countries)</t>
  </si>
  <si>
    <t>EU average (28 countries)</t>
  </si>
  <si>
    <t>V4 without SK</t>
  </si>
  <si>
    <t>SK - GDP (September)</t>
  </si>
  <si>
    <t>SK_GDP</t>
  </si>
  <si>
    <t>Social insurance contributions</t>
  </si>
  <si>
    <t>VAT</t>
  </si>
  <si>
    <t>Other taxes</t>
  </si>
  <si>
    <t>Health insurance contributions</t>
  </si>
  <si>
    <t>CIT</t>
  </si>
  <si>
    <t>PIT</t>
  </si>
  <si>
    <t>Excise duties</t>
  </si>
  <si>
    <t>without other taxes</t>
  </si>
  <si>
    <t>Tax to GDP ratio (% GDP)</t>
  </si>
  <si>
    <t>GDP</t>
  </si>
  <si>
    <t>Total</t>
  </si>
  <si>
    <t>less harmful</t>
  </si>
  <si>
    <t>more harmful</t>
  </si>
  <si>
    <t>Capital</t>
  </si>
  <si>
    <t>Consumption</t>
  </si>
  <si>
    <t>Labour</t>
  </si>
  <si>
    <t>VAT gap (according to MF SR)</t>
  </si>
  <si>
    <t>VAT gap (acoording to EC)</t>
  </si>
  <si>
    <t>ETR (gross OS, right ax)</t>
  </si>
  <si>
    <t>ETR (net OS, left ax)</t>
  </si>
  <si>
    <t>EU</t>
  </si>
  <si>
    <t>TABLE 9 - Comparison of Expenditure and Revenue Balance and NPC in 2019 to 2021 (% of GDP)</t>
  </si>
  <si>
    <t>DBP-NPC</t>
  </si>
  <si>
    <t>ESA code</t>
  </si>
  <si>
    <t>Total revenue</t>
  </si>
  <si>
    <t>37,8</t>
  </si>
  <si>
    <t>38,0</t>
  </si>
  <si>
    <t>37,1</t>
  </si>
  <si>
    <t>38,4</t>
  </si>
  <si>
    <t>38,6</t>
  </si>
  <si>
    <t>37,7</t>
  </si>
  <si>
    <t>0,7</t>
  </si>
  <si>
    <t>0,6</t>
  </si>
  <si>
    <t>Taxes on production and imports</t>
  </si>
  <si>
    <t>10,8</t>
  </si>
  <si>
    <t>10,6</t>
  </si>
  <si>
    <t>10,3</t>
  </si>
  <si>
    <t>11,0</t>
  </si>
  <si>
    <t>10,4</t>
  </si>
  <si>
    <t>0,2</t>
  </si>
  <si>
    <t>Current taxes on income, wealth</t>
  </si>
  <si>
    <t>7,3</t>
  </si>
  <si>
    <t>7,2</t>
  </si>
  <si>
    <t>7,4</t>
  </si>
  <si>
    <t>0,1</t>
  </si>
  <si>
    <t>Capital taxes</t>
  </si>
  <si>
    <t>0,0</t>
  </si>
  <si>
    <t>Social security contributions</t>
  </si>
  <si>
    <t>14,4</t>
  </si>
  <si>
    <t>14,1</t>
  </si>
  <si>
    <t>13,9</t>
  </si>
  <si>
    <t>14,5</t>
  </si>
  <si>
    <t>14,2</t>
  </si>
  <si>
    <t>Property income</t>
  </si>
  <si>
    <t>0,5</t>
  </si>
  <si>
    <t>Other*</t>
  </si>
  <si>
    <t>4,7</t>
  </si>
  <si>
    <t>5,4</t>
  </si>
  <si>
    <t>5,1</t>
  </si>
  <si>
    <t>5,0</t>
  </si>
  <si>
    <t>5,7</t>
  </si>
  <si>
    <t>5,5</t>
  </si>
  <si>
    <t>0,3</t>
  </si>
  <si>
    <t>0,4</t>
  </si>
  <si>
    <t>Total expenditure</t>
  </si>
  <si>
    <t>37,6</t>
  </si>
  <si>
    <t>37,5</t>
  </si>
  <si>
    <t>36,3</t>
  </si>
  <si>
    <t>38,5</t>
  </si>
  <si>
    <t>0,9</t>
  </si>
  <si>
    <t>1,1</t>
  </si>
  <si>
    <t>Compensations for employees</t>
  </si>
  <si>
    <t>8,8</t>
  </si>
  <si>
    <t>8,7</t>
  </si>
  <si>
    <t>9,2</t>
  </si>
  <si>
    <t>9,5</t>
  </si>
  <si>
    <t>9,3</t>
  </si>
  <si>
    <t>Intermediate consumption</t>
  </si>
  <si>
    <t>5,6</t>
  </si>
  <si>
    <t>5,8</t>
  </si>
  <si>
    <t>Subsidies</t>
  </si>
  <si>
    <t>Interest cost</t>
  </si>
  <si>
    <t>1,2</t>
  </si>
  <si>
    <t>1,0</t>
  </si>
  <si>
    <t>Total social transfers</t>
  </si>
  <si>
    <t>17,3</t>
  </si>
  <si>
    <t>16,5</t>
  </si>
  <si>
    <t>15,8</t>
  </si>
  <si>
    <t>17,4</t>
  </si>
  <si>
    <t>16,6</t>
  </si>
  <si>
    <t>16,0</t>
  </si>
  <si>
    <t>thereof: Unemployment benefits</t>
  </si>
  <si>
    <t>Gross fixed capital generation</t>
  </si>
  <si>
    <t>2,4</t>
  </si>
  <si>
    <t>2,7</t>
  </si>
  <si>
    <t>2,5</t>
  </si>
  <si>
    <t>-0,2</t>
  </si>
  <si>
    <t>Capital transfers</t>
  </si>
  <si>
    <t>Other**</t>
  </si>
  <si>
    <t>1,9</t>
  </si>
  <si>
    <t>2,1</t>
  </si>
  <si>
    <t>General government balance</t>
  </si>
  <si>
    <t xml:space="preserve">B.9 </t>
  </si>
  <si>
    <t>0,8</t>
  </si>
  <si>
    <t>-0,1</t>
  </si>
  <si>
    <t>-0,4</t>
  </si>
  <si>
    <t>-0,6</t>
  </si>
  <si>
    <t>Note.: * P.11+P.12+P131+D.39rec+D.7rec+D.9rec (other than D.91rec)</t>
  </si>
  <si>
    <t>Source: MF SR</t>
  </si>
  <si>
    <t>TABLE 10 -  List of one-off measures in 2018 for NPC needs (ESA 2010, millions of Euros and in% of GDP)</t>
  </si>
  <si>
    <t xml:space="preserve"> % GDP</t>
  </si>
  <si>
    <t>Construction of National Footbal Stadium</t>
  </si>
  <si>
    <t>0,07</t>
  </si>
  <si>
    <t>Reserve for significant investments</t>
  </si>
  <si>
    <t>0,08</t>
  </si>
  <si>
    <t xml:space="preserve"> Debt relief of healthcare facilities</t>
  </si>
  <si>
    <t>0,33</t>
  </si>
  <si>
    <t>0,48</t>
  </si>
  <si>
    <t>p. m. volume of one-off measures in the Stability Program</t>
  </si>
  <si>
    <t>0,54</t>
  </si>
  <si>
    <t>TABLE 11 -  Differences between balance in the SP 2018 and DBP 2019 in NPC scenario (in % of GDP)</t>
  </si>
  <si>
    <t>Stability Program (1)</t>
  </si>
  <si>
    <t>0,64</t>
  </si>
  <si>
    <t>0,88</t>
  </si>
  <si>
    <t>1,07</t>
  </si>
  <si>
    <t>Draft budgetary plan (2)</t>
  </si>
  <si>
    <t>0,15</t>
  </si>
  <si>
    <t>0,44</t>
  </si>
  <si>
    <t>0,75</t>
  </si>
  <si>
    <t>Difference (2-1)</t>
  </si>
  <si>
    <t>-0,49</t>
  </si>
  <si>
    <t>-0,44</t>
  </si>
  <si>
    <t>-0,32</t>
  </si>
  <si>
    <t xml:space="preserve"> mil. EUR</t>
  </si>
  <si>
    <t>Source: MFSR</t>
  </si>
  <si>
    <t>General government balance in the NPC scenario</t>
  </si>
  <si>
    <t>TABLE 12 -  Differences between SP 2018 and DBP 2019 in the NPC scenario (million Euros)</t>
  </si>
  <si>
    <t>2018 base</t>
  </si>
  <si>
    <t>General government balances in the NPC scenario</t>
  </si>
  <si>
    <t>of which: tax revenues</t>
  </si>
  <si>
    <t>of which: social security contributions</t>
  </si>
  <si>
    <t xml:space="preserve">of which: non-tax revenues </t>
  </si>
  <si>
    <t>of which: grants and transfers</t>
  </si>
  <si>
    <t>of which : current expenditure</t>
  </si>
  <si>
    <t>of which : capital expenditure</t>
  </si>
  <si>
    <t xml:space="preserve">Source: MFSR           </t>
  </si>
  <si>
    <t>TABLE 13 - Measures included in the draft general government budget (ESA 2010, NPC comparison)</t>
  </si>
  <si>
    <t>GG Expenditure</t>
  </si>
  <si>
    <t>Sector</t>
  </si>
  <si>
    <t>Compensation of which:</t>
  </si>
  <si>
    <t>Valorization10 % and wage measures</t>
  </si>
  <si>
    <t>Intermediate consumption, of which</t>
  </si>
  <si>
    <t xml:space="preserve">Reserve to address the impact of new legal adjustments and other measures </t>
  </si>
  <si>
    <t>Agricultural expenditures related to the supermarket chain levy</t>
  </si>
  <si>
    <t>Social transfers in kind</t>
  </si>
  <si>
    <t>Other current transfers</t>
  </si>
  <si>
    <t>Capital expenditure, of which:</t>
  </si>
  <si>
    <t>Capital investments</t>
  </si>
  <si>
    <t>Expenditure total</t>
  </si>
  <si>
    <t>Note. (+) increase in revenues and decrease in expenditures</t>
  </si>
  <si>
    <t xml:space="preserve">*not included in the DBP 2018 – 2020 </t>
  </si>
  <si>
    <t>Graf / Chart 35</t>
  </si>
  <si>
    <t>Graf / Chart 36</t>
  </si>
  <si>
    <t>Vstupné dáta /Data</t>
  </si>
  <si>
    <t xml:space="preserve">CHART 37 - Comparison of general government expenditure by COFOG (changes in GDP in p.p.) </t>
  </si>
  <si>
    <t>Data</t>
  </si>
  <si>
    <t>Function</t>
  </si>
  <si>
    <t>1. General public services</t>
  </si>
  <si>
    <t>2. Defence</t>
  </si>
  <si>
    <t>3. Public order and safety</t>
  </si>
  <si>
    <t>4. Economic area</t>
  </si>
  <si>
    <t>5. Environmental protection</t>
  </si>
  <si>
    <t>6. Housing and amenities</t>
  </si>
  <si>
    <t>7. Healthcare system</t>
  </si>
  <si>
    <t>8. Recreation, culture and religion</t>
  </si>
  <si>
    <t>9. Education</t>
  </si>
  <si>
    <t>10. Social security</t>
  </si>
  <si>
    <t>Total expenditures</t>
  </si>
  <si>
    <t>GDP -  september 2018</t>
  </si>
  <si>
    <t xml:space="preserve">% TEGG </t>
  </si>
  <si>
    <t>% GDP</t>
  </si>
  <si>
    <t>Differences between monitoring,  DBP a DBP t+1</t>
  </si>
  <si>
    <t>Difference monitoring t time t and DBP at time t+1</t>
  </si>
  <si>
    <t>Difference GDP</t>
  </si>
  <si>
    <t>Difference TEGG</t>
  </si>
  <si>
    <t>Difference monitoring at time t and DBP at time t</t>
  </si>
  <si>
    <t>Change monitoring - DBP</t>
  </si>
  <si>
    <t>p. p. GDP</t>
  </si>
  <si>
    <t>Social security</t>
  </si>
  <si>
    <t>Education</t>
  </si>
  <si>
    <t>Recreation, culture, religion</t>
  </si>
  <si>
    <t>Healthcare</t>
  </si>
  <si>
    <t>Housing and amenities</t>
  </si>
  <si>
    <t>Enviromental protection</t>
  </si>
  <si>
    <t>Economic area</t>
  </si>
  <si>
    <t>Public order and safety</t>
  </si>
  <si>
    <t>Defence</t>
  </si>
  <si>
    <t>General public services</t>
  </si>
  <si>
    <t>COFOG code</t>
  </si>
  <si>
    <t>DBP SK 2019</t>
  </si>
  <si>
    <t>DBP SK 2021</t>
  </si>
  <si>
    <t>Note.: Methodology of reporting expenditures according to their function may differ among countries. This issue may cause that one item may contain different data for a different country a (eg. taxable and non-taxavle pensions). COFOG classification also does not take into account  expenditures realized through the tax system (eg. tax allowances).</t>
  </si>
  <si>
    <t>5,3</t>
  </si>
  <si>
    <t>6,3</t>
  </si>
  <si>
    <t>2,3</t>
  </si>
  <si>
    <t>1,7</t>
  </si>
  <si>
    <t>4,5</t>
  </si>
  <si>
    <t>4,2</t>
  </si>
  <si>
    <t>7,1</t>
  </si>
  <si>
    <t>3,8</t>
  </si>
  <si>
    <t>4,8</t>
  </si>
  <si>
    <t>4,6</t>
  </si>
  <si>
    <t>15,1</t>
  </si>
  <si>
    <t>41,5</t>
  </si>
  <si>
    <t>42,4</t>
  </si>
  <si>
    <t>47,6</t>
  </si>
  <si>
    <t>Chart 35: Development of the general government expenditures (% GDP)</t>
  </si>
  <si>
    <t>Chart 36: Development of the general government capital expenditures (% GDP)</t>
  </si>
  <si>
    <t>Table 14: General government expenditure by COFOG classification</t>
  </si>
  <si>
    <t>Vývoj v roku 2018 (ESA 2010)</t>
  </si>
  <si>
    <t>Headline balance - Final</t>
  </si>
  <si>
    <t>Expected headline balance</t>
  </si>
  <si>
    <t>Higher Social Security Contributions  (D.61)</t>
  </si>
  <si>
    <t>Higher Tax revenue (D.2+D.5+D.91)</t>
  </si>
  <si>
    <t>Higher Grants and transfers (D.39+D.7R+D.9R)</t>
  </si>
  <si>
    <t>Lower Other current transfers (D.7P)</t>
  </si>
  <si>
    <t>Lower Subsidies (D.3P)</t>
  </si>
  <si>
    <t>Nižšie výdavky na sociálne dávky (D.62P)</t>
  </si>
  <si>
    <t>Lower social benefits expenditure (D.62P)</t>
  </si>
  <si>
    <t>Lower interest expenditure (D.41P)</t>
  </si>
  <si>
    <t>Higher on Social transfers in kind (healthcare facilities) (D.632P)</t>
  </si>
  <si>
    <t>Higher Intermediate Consumption (P.2)</t>
  </si>
  <si>
    <t>Lower Nontax revenue (P.11+P.12+P.131+D.4)</t>
  </si>
  <si>
    <t>Higher Capital transfers (D.9P)</t>
  </si>
  <si>
    <t>Higher Capital Investments (P.5L=P.51G)</t>
  </si>
  <si>
    <t>Compensation of employees (D.1P)</t>
  </si>
  <si>
    <t>Figure 11 - Analytical breakdown of headline balance development in 2018 (ESA 2010), contributions in mil. eur</t>
  </si>
  <si>
    <t>Target balances of general government</t>
  </si>
  <si>
    <t>Stability Programme (1)</t>
  </si>
  <si>
    <t>Draft Budgetary Plan (2)</t>
  </si>
  <si>
    <t>2017 F</t>
  </si>
  <si>
    <t>2019 E</t>
  </si>
  <si>
    <t>2020 E</t>
  </si>
  <si>
    <t>2021 E</t>
  </si>
  <si>
    <t xml:space="preserve">TABLE 4: Consolidation effort in EC methodology (ESA 2010, % GDP) </t>
  </si>
  <si>
    <t>Required consolidation effort</t>
  </si>
  <si>
    <t>Deviation over one-year horizon</t>
  </si>
  <si>
    <t>Deviation over two-year horizon</t>
  </si>
  <si>
    <t>2014 F</t>
  </si>
  <si>
    <t>2015 F</t>
  </si>
  <si>
    <t>2016 F</t>
  </si>
  <si>
    <t>* A deviation up to 0,25 % of GDP from the MTO to be interpreted as MTO ex-post fullfilment (otherwise one-year deviation of 0,1 and two-year of 0,3 % of GPD)</t>
  </si>
  <si>
    <t>** Subject to rounding differences</t>
  </si>
  <si>
    <r>
      <t xml:space="preserve">*** </t>
    </r>
    <r>
      <rPr>
        <sz val="10"/>
        <color theme="1"/>
        <rFont val="Arial Narrow"/>
        <family val="2"/>
        <charset val="238"/>
      </rPr>
      <t>2018 – expected headline balance</t>
    </r>
  </si>
  <si>
    <t>**** 2017 deviations are frozen in line with EC spring forecast of 2018.</t>
  </si>
  <si>
    <t>Inputs</t>
  </si>
  <si>
    <t>Structural balance</t>
  </si>
  <si>
    <t>Interest expense</t>
  </si>
  <si>
    <t>Structural primary balance</t>
  </si>
  <si>
    <t>∆ Structural primary balance</t>
  </si>
  <si>
    <t>Output gap</t>
  </si>
  <si>
    <t>∆ change in output gap</t>
  </si>
  <si>
    <t>Primary structural balance</t>
  </si>
  <si>
    <t>Table 5: Primary struct. balance (EC)</t>
  </si>
  <si>
    <t>Source: MoF SR</t>
  </si>
  <si>
    <t>Figure 13: Change in primary structural balance vs output gap level (GDP %)</t>
  </si>
  <si>
    <t>Figure 14: Change in primary structural balance vs change in output gap level (p.p)</t>
  </si>
  <si>
    <t>Input data</t>
  </si>
  <si>
    <t>Structural balance revision</t>
  </si>
  <si>
    <t>Cyclical component</t>
  </si>
  <si>
    <t>Change of nominal balance</t>
  </si>
  <si>
    <t>SB</t>
  </si>
  <si>
    <t>NB</t>
  </si>
  <si>
    <t>SP</t>
  </si>
  <si>
    <t>Difference</t>
  </si>
  <si>
    <t>Figure 15 - Comparison of structural balance under the Stability Programme and the Draft Budgetary Plan</t>
  </si>
  <si>
    <t>Figure 16 - Contributions of factors on the structural balance revision</t>
  </si>
  <si>
    <t>Stability Programme 2018-2021</t>
  </si>
  <si>
    <t>Draft Budget 2019</t>
  </si>
  <si>
    <t>1.   Total expenditure</t>
  </si>
  <si>
    <t>Primary expenditure aggregate</t>
  </si>
  <si>
    <t>Nominal growth of expenditure aggregate net of revenue measures</t>
  </si>
  <si>
    <t>Real growth of expenditure aggregate net of revenue measures</t>
  </si>
  <si>
    <t>Expenditure benchmark (reference rate decreased by pot. GDP growth)</t>
  </si>
  <si>
    <t>Deviation from expenditure benchmark</t>
  </si>
  <si>
    <t>One-year deviation from expenditure benchmark</t>
  </si>
  <si>
    <t>Two-year deviation from expenditure benchmark</t>
  </si>
  <si>
    <t>2.   Interest expense</t>
  </si>
  <si>
    <t>3.   Expenditure covered by EU (capital)</t>
  </si>
  <si>
    <t>3a. Expenditure covered by EU funds (total)</t>
  </si>
  <si>
    <t>4.   Capital expenditures covered by national funds</t>
  </si>
  <si>
    <t>5.   Smoothed capital expenditures (national funds 4-year moving average)</t>
  </si>
  <si>
    <t>6.   Cyclical expenditures for unemployment benefits</t>
  </si>
  <si>
    <t xml:space="preserve">7.   Expenditures fully matched with automatic rise of revenues </t>
  </si>
  <si>
    <t>8.   Primary expenditure aggregate (1-2-3a-4+5-6-7)</t>
  </si>
  <si>
    <t>9.  Year-on-year change in primary expenditure aggregate (8t-8t-1)</t>
  </si>
  <si>
    <t>10. Change of revenues due to discretionary revenue measures</t>
  </si>
  <si>
    <t>11. One-offs - revenue</t>
  </si>
  <si>
    <t>13. Adjustments</t>
  </si>
  <si>
    <t>12. One-offs - expenditure</t>
  </si>
  <si>
    <t>14. Nominal growth of expenditure aggregate net of revenue measures ((9t-10t)/8t-1)</t>
  </si>
  <si>
    <t>15. Real growth of expenditure aggregate net of revenue measures</t>
  </si>
  <si>
    <t>16. Expenditure benchmark (reference rate decreased by pot. GDP growth)</t>
  </si>
  <si>
    <t>17. Deviation from expenditure benchmark (16-15)</t>
  </si>
  <si>
    <t xml:space="preserve">p. m. GDP deflator </t>
  </si>
  <si>
    <t>Deviation limit on 1-year horizon</t>
  </si>
  <si>
    <t>Deviation limit on 2-year horizon</t>
  </si>
  <si>
    <t>Nominal GDP</t>
  </si>
  <si>
    <t>TABUĽKA 6 - Výpočet plnenia výdavkového pravidla (ESA 2010) - Expenditure benchmark (ESA 2010)</t>
  </si>
  <si>
    <t>Výpočet plnenia výdavkového pravidla - Calculation of expenditure benchmark (ESA 2010)</t>
  </si>
  <si>
    <t>Medium term potential growth of GDP (EC methodology, 10y average - t-5 - t+4 )</t>
  </si>
  <si>
    <t>Tax and Social/Health contribution revenues (y-o-y % change)</t>
  </si>
  <si>
    <t>GDP deflator</t>
  </si>
  <si>
    <t>Discretionary revenue Measures</t>
  </si>
  <si>
    <t>Figure 17: Development of expenditure aggregate vs expenditure benchmark (growth %)</t>
  </si>
  <si>
    <t>Figure 18 - Tax and Social/Health contribution revenues in comparison with potential GDP growth (% y-o-y change)</t>
  </si>
  <si>
    <t>Gross debt</t>
  </si>
  <si>
    <t>Debt of other general government entities</t>
  </si>
  <si>
    <t>Sovereign debt (net of international commitments)</t>
  </si>
  <si>
    <t>Debt limit</t>
  </si>
  <si>
    <t xml:space="preserve">Budget balance requirement </t>
  </si>
  <si>
    <t>Expenditure freezing</t>
  </si>
  <si>
    <t>Letter of the MF minister</t>
  </si>
  <si>
    <t>Figure 19 - General government gross debt (% GDP)</t>
  </si>
  <si>
    <t>Change in gross debt of general government</t>
  </si>
  <si>
    <t>Contributions to change in general government gross debt:</t>
  </si>
  <si>
    <t>Primary balance</t>
  </si>
  <si>
    <t>Growth of nominal GDP</t>
  </si>
  <si>
    <t>Stock - flow adjustment</t>
  </si>
  <si>
    <t>Real GDP growth</t>
  </si>
  <si>
    <t xml:space="preserve">GDP deflator </t>
  </si>
  <si>
    <t>Figure 20: Contributions of factors to gross debt change (% of GDP)</t>
  </si>
  <si>
    <t>Figure 18: Net debt (% GDP)</t>
  </si>
  <si>
    <t>Net debt</t>
  </si>
  <si>
    <t>Liquid assets of GG</t>
  </si>
  <si>
    <t>Long-term inflation</t>
  </si>
  <si>
    <t>10-year yield</t>
  </si>
  <si>
    <t>Real equilibrium rate</t>
  </si>
  <si>
    <t>Figure 22 - Long-term inflation and real equilibrium rate estimates</t>
  </si>
  <si>
    <t>Table 7: General Government Gross debt ( mil. eur)</t>
  </si>
  <si>
    <t>A. General government gross debt (as of 1 Jan)</t>
  </si>
  <si>
    <t>B. Total y/y change in the GG gross debt</t>
  </si>
  <si>
    <t>- Cash-based state budget deficit</t>
  </si>
  <si>
    <t>- State Treasury funds used for the financing of government operations</t>
  </si>
  <si>
    <t>- Slovakia's contributions to EFSF and ESM</t>
  </si>
  <si>
    <t>- Issue discount</t>
  </si>
  <si>
    <t>- Discount at maturity</t>
  </si>
  <si>
    <t>- Balance of loans to GG entities</t>
  </si>
  <si>
    <t>thereof: ŽSR + ŽSSK</t>
  </si>
  <si>
    <t>thereof: NDS</t>
  </si>
  <si>
    <t>thereof: Municipal public transportation companies</t>
  </si>
  <si>
    <t xml:space="preserve">thereof: Local government </t>
  </si>
  <si>
    <t xml:space="preserve"> - other</t>
  </si>
  <si>
    <t>C. General government gross debt (as of 31 Dec)</t>
  </si>
  <si>
    <t>in % of GDP</t>
  </si>
  <si>
    <t>Note: Plus amounts increase the general government debt as at 31 December of the relevant year, minus amounts decrease the debt.</t>
  </si>
  <si>
    <t>Source: MoF</t>
  </si>
  <si>
    <t>2018 - expected</t>
  </si>
  <si>
    <t>2020E</t>
  </si>
  <si>
    <t>thereof: GDP forecast revision</t>
  </si>
  <si>
    <t>thereof: Debt forecast revision</t>
  </si>
  <si>
    <t>D. Change of general government gross debt against Stability Programme (p.p.)</t>
  </si>
  <si>
    <t>Table 8 - GG gross debt (% GDP, ESA 2010, as of 31.12.)</t>
  </si>
  <si>
    <t>GG gross debt</t>
  </si>
  <si>
    <t xml:space="preserve"> - Sovereign debt (no internation committments)</t>
  </si>
  <si>
    <t xml:space="preserve">  - contribution to EFSF</t>
  </si>
  <si>
    <t xml:space="preserve">  - contribution to ESM</t>
  </si>
  <si>
    <t xml:space="preserve">  - debt of other general government entities</t>
  </si>
  <si>
    <r>
      <t>*</t>
    </r>
    <r>
      <rPr>
        <i/>
        <sz val="10"/>
        <color theme="1"/>
        <rFont val="Arial Narrow"/>
        <family val="2"/>
        <charset val="238"/>
      </rPr>
      <t xml:space="preserve"> 2018 – expected</t>
    </r>
  </si>
  <si>
    <t>One-offs</t>
  </si>
  <si>
    <t>State guarantees</t>
  </si>
  <si>
    <t>Standard</t>
  </si>
  <si>
    <t>Liabilities related to off-balance</t>
  </si>
  <si>
    <t>Liabilities of public corporations outside general government</t>
  </si>
  <si>
    <t>Stock of non-performing loans</t>
  </si>
  <si>
    <t>Financial sector</t>
  </si>
  <si>
    <t>Others</t>
  </si>
  <si>
    <t>D</t>
  </si>
  <si>
    <t>Figure 23 - State guarantees (% GDP, 2016)</t>
  </si>
  <si>
    <t>Figure 24 - Off-balance sheet liabilities (% GDP, 2016)</t>
  </si>
  <si>
    <t>Figure 25 - Public corporations liabilities (% GDP, 2016)</t>
  </si>
  <si>
    <t>Figure 26 - Non-performing loans (% GDP, 2016)</t>
  </si>
  <si>
    <t>Revenues</t>
  </si>
  <si>
    <t>Subsector</t>
  </si>
  <si>
    <t>Total tax revenues</t>
  </si>
  <si>
    <t>Taxes on production</t>
  </si>
  <si>
    <t>Home distilling</t>
  </si>
  <si>
    <t>Higher revenues from gambling (change in contributions)</t>
  </si>
  <si>
    <t>Introduction of 13th and 14th salary</t>
  </si>
  <si>
    <t>Special levy for retail sector</t>
  </si>
  <si>
    <t>Fee for waste management</t>
  </si>
  <si>
    <t>Levy from new nuclear facilities</t>
  </si>
  <si>
    <t>Grants and transfers</t>
  </si>
  <si>
    <t>Extension and modification of initial levy to an excise duty on insurance premium</t>
  </si>
  <si>
    <t>Nanomarkers and eKasa</t>
  </si>
  <si>
    <t>Fee for provided services (EOSA)</t>
  </si>
  <si>
    <t>Exemption from income taxation from the sale of ownership shares</t>
  </si>
  <si>
    <t>Tax settlement from social contributions</t>
  </si>
  <si>
    <t>Abolition of tax HIC allowance for employers</t>
  </si>
  <si>
    <t>Connecting Europe Facility(CEF)</t>
  </si>
  <si>
    <t>Income taxes</t>
  </si>
  <si>
    <t>Non-tax revenues</t>
  </si>
  <si>
    <t>Social contributions</t>
  </si>
  <si>
    <t>Revenues total</t>
  </si>
  <si>
    <t>1. General government balance - Fiscal targets</t>
  </si>
  <si>
    <t xml:space="preserve"> - year-on-year change</t>
  </si>
  <si>
    <t>2. General government balance – NPC scenario</t>
  </si>
  <si>
    <t>3. Veľkosť opatrení - analyzovaný scenár (1-2)</t>
  </si>
  <si>
    <t>3. Size of measures - scenario analysed (1-2)</t>
  </si>
  <si>
    <t>TABLE 15 - Total size of measures necessary to reach the fiscal targets, compared with NPC (ESA2010, % GDP)</t>
  </si>
  <si>
    <t>Figure 1</t>
  </si>
  <si>
    <t>Figure 2</t>
  </si>
  <si>
    <t>Headline balance</t>
  </si>
  <si>
    <t>Consolidation effort</t>
  </si>
  <si>
    <t>Gross debt (net of  EFSF and ESM)</t>
  </si>
  <si>
    <t>EFSF and ESM</t>
  </si>
  <si>
    <t>Net Debt</t>
  </si>
  <si>
    <t>Dlhové pásma</t>
  </si>
  <si>
    <t>Debt limits</t>
  </si>
  <si>
    <t>Figure 1: Structural balance (% GDP)</t>
  </si>
  <si>
    <t>Figure 2: GG gross debt (% GDP)</t>
  </si>
  <si>
    <t>Content - Draft budgetary plan of the Slovak Republic for 2019</t>
  </si>
  <si>
    <t>Summary</t>
  </si>
  <si>
    <t>Macroeconomic assumptions underlying the draft budget</t>
  </si>
  <si>
    <t>Budgetary objectives</t>
  </si>
  <si>
    <t>Gross debt forecast</t>
  </si>
  <si>
    <t>Current development of public finances</t>
  </si>
  <si>
    <t>No-policy change scenarion and specific budgetary measures</t>
  </si>
  <si>
    <t>Headline inflation</t>
  </si>
  <si>
    <t>Net inflation</t>
  </si>
  <si>
    <t>Food prices</t>
  </si>
  <si>
    <t>Regulated prices</t>
  </si>
  <si>
    <t>Change in indirect taxes</t>
  </si>
  <si>
    <t>MoF forecast</t>
  </si>
  <si>
    <t>MFC median</t>
  </si>
  <si>
    <r>
      <t>*</t>
    </r>
    <r>
      <rPr>
        <sz val="8"/>
        <color theme="1"/>
        <rFont val="Arial Narrow"/>
        <family val="2"/>
        <charset val="238"/>
      </rPr>
      <t xml:space="preserve"> 2018 – expected headline balance</t>
    </r>
  </si>
  <si>
    <t>TABLE 3 - Comparison with the Stability Programme</t>
  </si>
  <si>
    <t>Net lending/borrowing</t>
  </si>
  <si>
    <t>Cyklical component</t>
  </si>
  <si>
    <t>One-off effects</t>
  </si>
  <si>
    <t>Structural balance (1-2-3)</t>
  </si>
  <si>
    <t xml:space="preserve">Consolidation effort </t>
  </si>
  <si>
    <t>Change of revenues due to discretionary revenue measures</t>
  </si>
  <si>
    <t>One-year deviation from expenditure benchmark*</t>
  </si>
  <si>
    <t>Two-year deviation from expenditure benchmark*</t>
  </si>
  <si>
    <t>Figure 6: Contributions to inflation (p.p.)</t>
  </si>
  <si>
    <t>TABLE 2: Forecast of selected economic indicators</t>
  </si>
  <si>
    <t>No.</t>
  </si>
  <si>
    <t>Indicator</t>
  </si>
  <si>
    <t>Stability programme</t>
  </si>
  <si>
    <t>unit</t>
  </si>
  <si>
    <t>bn. eur</t>
  </si>
  <si>
    <t>GDP, current prices</t>
  </si>
  <si>
    <t>GDP, constant prices</t>
  </si>
  <si>
    <t>Final consumption of households and NPISH</t>
  </si>
  <si>
    <t>Final consumption of general government</t>
  </si>
  <si>
    <t>Export of goods and services</t>
  </si>
  <si>
    <t>Import of goods and services</t>
  </si>
  <si>
    <t>Output gap (share of potential output)</t>
  </si>
  <si>
    <t>Average monthly wage (nominal growth)</t>
  </si>
  <si>
    <t>Average employment growth (LFS)</t>
  </si>
  <si>
    <t>Average employment growth (ESA 2010)</t>
  </si>
  <si>
    <t>Average unemployment rate (LFS)</t>
  </si>
  <si>
    <t>Draft budget</t>
  </si>
  <si>
    <t>Average unemployment rate (registered)</t>
  </si>
  <si>
    <t>Harmonized index of consumer prices (HICP)</t>
  </si>
  <si>
    <t>Current account balance (share on GDP)</t>
  </si>
  <si>
    <t>Figure 5: Contributions of sectors to employment growth (p.p.)</t>
  </si>
  <si>
    <t>Employment</t>
  </si>
  <si>
    <t>Public administration</t>
  </si>
  <si>
    <t>Market services</t>
  </si>
  <si>
    <t>Industry</t>
  </si>
  <si>
    <t>Construction</t>
  </si>
  <si>
    <t>Agriculture</t>
  </si>
  <si>
    <t>private consumption</t>
  </si>
  <si>
    <t>public consumption</t>
  </si>
  <si>
    <t>investment</t>
  </si>
  <si>
    <t>net export</t>
  </si>
  <si>
    <t>inventories and stat. disc.</t>
  </si>
  <si>
    <t>Figure 3: Contributions to GDP growth - quarterly (p.p.)</t>
  </si>
  <si>
    <t>Figure 4: Contributions to GDP growth - forecast (p.p.)</t>
  </si>
  <si>
    <t>MoF national methodology</t>
  </si>
  <si>
    <t>Figure 10: Comparison of forecasts of macroeconomic bases for tax revenues with MFC members</t>
  </si>
  <si>
    <t>TABLE 1: Output gap and factor contributions to potential growth - MoF approach</t>
  </si>
  <si>
    <t>Output gap
(% pot. GDP)</t>
  </si>
  <si>
    <t>Pot. GDP (growth, %)</t>
  </si>
  <si>
    <t>Capital stock</t>
  </si>
  <si>
    <t>Labor</t>
  </si>
  <si>
    <t>Figure 9: Output gap (% pot. GDP) – EC approach and MoF methodology</t>
  </si>
  <si>
    <t>EC estimate - Spring 2018 forecast</t>
  </si>
  <si>
    <t>EC methodology with MoF forecast</t>
  </si>
  <si>
    <t>Macroeconomic development</t>
  </si>
  <si>
    <t>Legislation</t>
  </si>
  <si>
    <t xml:space="preserve">Total </t>
  </si>
  <si>
    <t>Other</t>
  </si>
  <si>
    <t xml:space="preserve">Tax revenues </t>
  </si>
  <si>
    <t>HIC</t>
  </si>
  <si>
    <t>ETR</t>
  </si>
  <si>
    <t>SIC</t>
  </si>
  <si>
    <t>SIC - one offs</t>
  </si>
  <si>
    <t>1Q 2017 - left axis</t>
  </si>
  <si>
    <t>1Q 2018 - left axis</t>
  </si>
  <si>
    <t>% share of total unemployment rate (1Q 2017)</t>
  </si>
  <si>
    <t>% share of total unemployment rate (1Q 2018)</t>
  </si>
  <si>
    <t>Countries</t>
  </si>
  <si>
    <t>FIGURE 38 - Quarterly development of unemployment rate according 
to LFS (% of active population, seasonally adjusted data)</t>
  </si>
  <si>
    <t>FIGURE 39 - Long-term unemployment (%, 1Q 2017, 1Q 2018)</t>
  </si>
  <si>
    <t>Figure 1 + 2 - Structural balance + GG gross debt</t>
  </si>
  <si>
    <t>Figure 3 + 4 - Contributions to GDP growth - quarterly</t>
  </si>
  <si>
    <t>GRAF 8: Vývoj cien ropy Brent/ Brent prices</t>
  </si>
  <si>
    <t>GRAF 7: EUR posilnilo vplyvom dobrého výhľadu v eurozóne / EUR exchange rates</t>
  </si>
  <si>
    <t>Figure 7 + 8 - EUR exchange rates + Brent oruces</t>
  </si>
  <si>
    <t>Figure 9_ Table 1 - Output gap and factor contributions to potential growth + Output gap (% pot. GDP) – EC approach and MoF methodology</t>
  </si>
  <si>
    <t>Graf 10 - Comparison of forecasts of macroeconomic bases for tax revenues with MFC members</t>
  </si>
  <si>
    <t>Table 2 - Forecast of selected economic indicators</t>
  </si>
  <si>
    <t>GRAF 12 - Príspevky k zmene prognózy oproti rozpočtu VS na roky 2016 a 2017 (v mil. eur)</t>
  </si>
  <si>
    <t>Figure 12 - Contributions to change of tax forecast against budget (mil. eur)</t>
  </si>
  <si>
    <t>Figure 11 - Analytical breakdown of headline balance development in 2018</t>
  </si>
  <si>
    <t>Figure 12 - Contributions to change of tax forecast against budget</t>
  </si>
  <si>
    <t>Figure 13 + 14 _ Tables 5 - Fiscal stance of Slovakia</t>
  </si>
  <si>
    <t>Figure 15 + 16 - Structural balance + Contributions to change of structural balance</t>
  </si>
  <si>
    <t>Table 6 + Figure 17 + 18 - Expenditure benchmark</t>
  </si>
  <si>
    <t>Figure 19 - General government gross debt</t>
  </si>
  <si>
    <t>Figure 20 - Contributions to debt change</t>
  </si>
  <si>
    <t>Figure 21 - Net debt</t>
  </si>
  <si>
    <t>Table 7 - General Government Gross debt - cash overview</t>
  </si>
  <si>
    <t>Table 8 - Gross debt breakdown</t>
  </si>
  <si>
    <t>Figure 23 + 24 + 25 + 26 - Contingent liabilities in EU</t>
  </si>
  <si>
    <t>Table 13 -  Measures included in the draft general government budget</t>
  </si>
  <si>
    <t>GRAF 22 - Tax revenues (% HDP)</t>
  </si>
  <si>
    <t>Tax revenues and social contributions</t>
  </si>
  <si>
    <t>Figure 28 - Comparison - tax revenues and social contributions (% GDP)</t>
  </si>
  <si>
    <t>Figure 27:  Tax revenues comparison (% GDP)</t>
  </si>
  <si>
    <t>Figure 27 + 28 - Tax revenues comparison + Comparison - tax revenues and social contributions</t>
  </si>
  <si>
    <t>Table 9 - Comparison of Expenditure and Revenue Balance and NPC</t>
  </si>
  <si>
    <t>Table 10 + 11 + 12 - List of one-off measures</t>
  </si>
  <si>
    <t>Figure 29 - Tax revenues to GDP (% HDP)</t>
  </si>
  <si>
    <t>Figure 30 - Taxing of economic factors (2016,%)</t>
  </si>
  <si>
    <t>Figure 29 + 30 - Tax revenues to GDP + Taxing of economic factors</t>
  </si>
  <si>
    <t>Figure 31 - VAT gap (% of potential revenue)</t>
  </si>
  <si>
    <t>Figure 31 + 32 - VAT gap (% of potential revenue) + Change of VAT gap in EU (2016)</t>
  </si>
  <si>
    <t>GRAF 32/ Figure 32 - Zmena daňovej medzery na DPH v EÚ (2016) / Change of VAT gap in EU (2016)</t>
  </si>
  <si>
    <t>Figure 33 - Effective tax rate of CIT</t>
  </si>
  <si>
    <t>Figure 34 - Mineral oil tax gap (2008 till 2017, % of potential revenue for mineral oil)</t>
  </si>
  <si>
    <t>Figure 33 + 34 - Effective tax rate + Mineral oil tax gap</t>
  </si>
  <si>
    <t>Figure 35 + 36 - Development of the general government expenditures  + Development of the general government capital expenditures</t>
  </si>
  <si>
    <t>Figure 37 + Table 14 - General government expenditure by COFOG classification</t>
  </si>
  <si>
    <t>Table 15 - Total size of measures necessary to reach the fiscal targets</t>
  </si>
  <si>
    <t>Link of budgetary plan to the objectives of the Growth and Jobs Strategy and country specific EU Council recommendations</t>
  </si>
  <si>
    <t>Figure 38 + 39 - Quarterly development of unemployment rate according to LFS + Long-term unemployment</t>
  </si>
  <si>
    <t>Discretionary revenue measures</t>
  </si>
  <si>
    <t>Appendix</t>
  </si>
  <si>
    <t>Figure 5 + 6 - Contributions of sectors to employment growth +  Contributions to inflation</t>
  </si>
  <si>
    <t>Table 3 - Comparison with the Stability Programme</t>
  </si>
  <si>
    <t>Table 4 - Consolidation effort</t>
  </si>
  <si>
    <t>Zdroj ESA 2010/ Source ESA 2010</t>
  </si>
  <si>
    <t>Zdroj ESA 95/ Source ESA 95</t>
  </si>
  <si>
    <t>Skutočnosť - Outturn</t>
  </si>
  <si>
    <t>Rozpočet - Budget</t>
  </si>
  <si>
    <t>OS - Estimate</t>
  </si>
  <si>
    <t>Ciele - Target</t>
  </si>
  <si>
    <t>Revenue total</t>
  </si>
  <si>
    <t xml:space="preserve"> - in % of GDP</t>
  </si>
  <si>
    <t>Tax revenue</t>
  </si>
  <si>
    <t>Taxes on Production and Imports</t>
  </si>
  <si>
    <t xml:space="preserve"> - VAT (incl. VAT directed to the EU)</t>
  </si>
  <si>
    <t xml:space="preserve"> - Excise taxes</t>
  </si>
  <si>
    <t xml:space="preserve"> - Import duty</t>
  </si>
  <si>
    <t xml:space="preserve"> - Taxes on Land, Buildings and Other Structures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</si>
  <si>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</si>
  <si>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</si>
  <si>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</si>
  <si>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</si>
  <si>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</si>
  <si>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- Withholding Tax - budgetary classification</t>
  </si>
  <si>
    <t xml:space="preserve"> - Income Tax - emissions</t>
  </si>
  <si>
    <t xml:space="preserve"> - Property Taxes and Others</t>
  </si>
  <si>
    <t>Net social contributions</t>
  </si>
  <si>
    <t>Actual social contributions - employers and households</t>
  </si>
  <si>
    <t xml:space="preserve">Actual social contributions - employers </t>
  </si>
  <si>
    <t>Imputed social contribution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</si>
  <si>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</si>
  <si>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</si>
  <si>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</si>
  <si>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</si>
  <si>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</si>
  <si>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</si>
  <si>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 xml:space="preserve"> - Interest</t>
  </si>
  <si>
    <t>of which: EU</t>
  </si>
  <si>
    <t>Other Subsidies on Production</t>
  </si>
  <si>
    <t>Other Current Transfers</t>
  </si>
  <si>
    <t>Capital Transfers</t>
  </si>
  <si>
    <t>Actual social contributions</t>
  </si>
  <si>
    <t>Unemployed and self-employed</t>
  </si>
  <si>
    <t>Expenditure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</si>
  <si>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</si>
  <si>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</si>
  <si>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</si>
  <si>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</si>
  <si>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</si>
  <si>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</si>
  <si>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</si>
  <si>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</si>
  <si>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</si>
  <si>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</si>
  <si>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</si>
  <si>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</si>
  <si>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 xml:space="preserve"> - Other</t>
  </si>
  <si>
    <t>Property Income</t>
  </si>
  <si>
    <t xml:space="preserve"> - Other Property Income</t>
  </si>
  <si>
    <t>Total Social Transfers</t>
  </si>
  <si>
    <t xml:space="preserve"> - Social benefits other than in kind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</si>
  <si>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</si>
  <si>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</si>
  <si>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</si>
  <si>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</si>
  <si>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</si>
  <si>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</si>
  <si>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</si>
  <si>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</si>
  <si>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</si>
  <si>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</si>
  <si>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others</t>
  </si>
  <si>
    <t xml:space="preserve"> - Insurance premiums for the specific groups of people based on the law</t>
  </si>
  <si>
    <t xml:space="preserve"> - social insurance</t>
  </si>
  <si>
    <t xml:space="preserve"> - health insurance</t>
  </si>
  <si>
    <t xml:space="preserve"> - Social transfers in kind (healthcare facilities)</t>
  </si>
  <si>
    <t>o/w: Levies to the EU budget (incl. VAT - EU source)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</si>
  <si>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</si>
  <si>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</si>
  <si>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</si>
  <si>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</si>
  <si>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</si>
  <si>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</si>
  <si>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 xml:space="preserve"> - Investment grants and other capital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</si>
</sst>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[$-409]mmm\-yy;@"/>
    <numFmt numFmtId="165" formatCode="0.0"/>
    <numFmt numFmtId="166" formatCode="#,##0.0"/>
    <numFmt numFmtId="167" formatCode="#,##0_ ;[Red]\-#,##0\ "/>
    <numFmt numFmtId="168" formatCode="0.0%"/>
    <numFmt numFmtId="169" formatCode="_-[$€-2]* #,##0.00_-;\-[$€-2]* #,##0.00_-;_-[$€-2]* &quot;-&quot;??_-"/>
    <numFmt numFmtId="170" formatCode="_-* #,##0.0\ _€_-;\-* #,##0.0\ _€_-;_-* &quot;-&quot;??\ _€_-;_-@_-"/>
    <numFmt numFmtId="171" formatCode="_-* #,##0.00\ _S_k_-;\-* #,##0.00\ _S_k_-;_-* &quot;-&quot;??\ _S_k_-;_-@_-"/>
    <numFmt numFmtId="172" formatCode="#,##0.000"/>
    <numFmt numFmtId="173" formatCode="&quot; &quot;#,##0.00&quot; &quot;;&quot;-&quot;#,##0.00&quot; &quot;;&quot; -&quot;00&quot; &quot;;&quot; &quot;@&quot; &quot;"/>
    <numFmt numFmtId="174" formatCode="0.000"/>
    <numFmt numFmtId="175" formatCode="#,##0.0000"/>
    <numFmt numFmtId="176" formatCode="_-* #,##0\ _€_-;\-* #,##0\ _€_-;_-* &quot;-&quot;??\ _€_-;_-@_-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 Narrow"/>
      <family val="2"/>
    </font>
    <font>
      <sz val="11"/>
      <name val="Arial"/>
      <family val="2"/>
      <charset val="238"/>
    </font>
    <font>
      <sz val="11"/>
      <color indexed="8"/>
      <name val="Arial Narrow"/>
      <family val="2"/>
      <charset val="238"/>
    </font>
    <font>
      <sz val="10"/>
      <name val="Garamond"/>
      <family val="1"/>
      <charset val="238"/>
    </font>
    <font>
      <sz val="11"/>
      <color theme="1"/>
      <name val="Garamond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1F497D"/>
      <name val="Arial"/>
      <family val="2"/>
      <charset val="238"/>
    </font>
    <font>
      <u/>
      <sz val="10"/>
      <color rgb="FF800080"/>
      <name val="Arial"/>
      <family val="2"/>
      <charset val="238"/>
    </font>
    <font>
      <sz val="10"/>
      <color rgb="FF9C000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rgb="FF2C9ADC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4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0" tint="-0.249977111117893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sz val="10"/>
      <color rgb="FF5B9BD5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rgb="FF2C9ADC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9C0006"/>
      <name val="Arial Narrow"/>
      <family val="2"/>
      <charset val="238"/>
    </font>
    <font>
      <b/>
      <sz val="10"/>
      <color rgb="FF006100"/>
      <name val="Arial Narrow"/>
      <family val="2"/>
      <charset val="238"/>
    </font>
    <font>
      <b/>
      <sz val="10"/>
      <color rgb="FF9C6500"/>
      <name val="Arial Narrow"/>
      <family val="2"/>
      <charset val="238"/>
    </font>
    <font>
      <b/>
      <sz val="10"/>
      <color rgb="FF9C0006"/>
      <name val="Arial Narrow"/>
      <family val="2"/>
      <charset val="238"/>
    </font>
    <font>
      <sz val="10"/>
      <color theme="4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B0F0"/>
      <name val="Arial Narrow"/>
      <family val="2"/>
      <charset val="238"/>
    </font>
    <font>
      <b/>
      <sz val="12"/>
      <color rgb="FF2C9ADC"/>
      <name val="Arial Narrow"/>
      <family val="2"/>
      <charset val="238"/>
    </font>
    <font>
      <b/>
      <sz val="12"/>
      <color theme="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B0F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5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5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75">
    <xf numFmtId="0" fontId="0" fillId="0" borderId="0"/>
    <xf numFmtId="0" fontId="16" fillId="0" borderId="0"/>
    <xf numFmtId="0" fontId="17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/>
    <xf numFmtId="164" fontId="20" fillId="0" borderId="0"/>
    <xf numFmtId="9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22" fillId="0" borderId="0"/>
    <xf numFmtId="0" fontId="12" fillId="0" borderId="0"/>
    <xf numFmtId="9" fontId="15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/>
    <xf numFmtId="0" fontId="15" fillId="0" borderId="0"/>
    <xf numFmtId="0" fontId="11" fillId="0" borderId="0"/>
    <xf numFmtId="0" fontId="23" fillId="0" borderId="0"/>
    <xf numFmtId="9" fontId="23" fillId="0" borderId="0" applyFont="0" applyFill="0" applyBorder="0" applyAlignment="0" applyProtection="0"/>
    <xf numFmtId="0" fontId="21" fillId="0" borderId="0"/>
    <xf numFmtId="0" fontId="13" fillId="0" borderId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17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9" fillId="0" borderId="0"/>
    <xf numFmtId="0" fontId="26" fillId="0" borderId="0"/>
    <xf numFmtId="17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30" applyNumberFormat="0" applyFill="0" applyAlignment="0" applyProtection="0"/>
    <xf numFmtId="0" fontId="32" fillId="7" borderId="0" applyNumberFormat="0" applyBorder="0" applyAlignment="0" applyProtection="0"/>
    <xf numFmtId="0" fontId="29" fillId="6" borderId="29" applyNumberFormat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0" borderId="0"/>
    <xf numFmtId="0" fontId="8" fillId="0" borderId="0"/>
    <xf numFmtId="0" fontId="17" fillId="0" borderId="0"/>
    <xf numFmtId="0" fontId="7" fillId="0" borderId="0"/>
    <xf numFmtId="0" fontId="25" fillId="0" borderId="0"/>
    <xf numFmtId="0" fontId="6" fillId="0" borderId="0"/>
    <xf numFmtId="0" fontId="34" fillId="0" borderId="0"/>
    <xf numFmtId="9" fontId="25" fillId="0" borderId="0" applyFont="0" applyFill="0" applyBorder="0" applyAlignment="0" applyProtection="0"/>
    <xf numFmtId="0" fontId="21" fillId="0" borderId="0"/>
    <xf numFmtId="0" fontId="25" fillId="0" borderId="0"/>
    <xf numFmtId="171" fontId="2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23" fillId="0" borderId="0"/>
    <xf numFmtId="0" fontId="23" fillId="0" borderId="0"/>
    <xf numFmtId="0" fontId="13" fillId="0" borderId="0"/>
    <xf numFmtId="9" fontId="13" fillId="0" borderId="0" applyFont="0" applyFill="0" applyBorder="0" applyAlignment="0" applyProtection="0"/>
    <xf numFmtId="0" fontId="5" fillId="0" borderId="0"/>
    <xf numFmtId="0" fontId="22" fillId="0" borderId="0"/>
    <xf numFmtId="0" fontId="25" fillId="0" borderId="0"/>
    <xf numFmtId="0" fontId="4" fillId="0" borderId="0"/>
    <xf numFmtId="0" fontId="22" fillId="0" borderId="0"/>
    <xf numFmtId="0" fontId="3" fillId="0" borderId="0"/>
    <xf numFmtId="43" fontId="3" fillId="0" borderId="0" applyFont="0" applyFill="0" applyBorder="0" applyAlignment="0" applyProtection="0"/>
  </cellStyleXfs>
  <cellXfs count="887">
    <xf numFmtId="0" fontId="0" fillId="0" borderId="0" xfId="0"/>
    <xf numFmtId="165" fontId="39" fillId="0" borderId="0" xfId="0" applyNumberFormat="1" applyFont="1" applyBorder="1" applyAlignment="1">
      <alignment horizontal="center" vertical="center"/>
    </xf>
    <xf numFmtId="165" fontId="39" fillId="0" borderId="3" xfId="0" applyNumberFormat="1" applyFont="1" applyBorder="1" applyAlignment="1">
      <alignment horizontal="center" vertical="center"/>
    </xf>
    <xf numFmtId="165" fontId="39" fillId="0" borderId="3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13" fillId="0" borderId="0" xfId="0" applyFont="1"/>
    <xf numFmtId="165" fontId="13" fillId="0" borderId="0" xfId="0" applyNumberFormat="1" applyFont="1"/>
    <xf numFmtId="165" fontId="38" fillId="0" borderId="3" xfId="0" applyNumberFormat="1" applyFont="1" applyBorder="1" applyAlignment="1">
      <alignment horizontal="center" vertical="center"/>
    </xf>
    <xf numFmtId="0" fontId="40" fillId="0" borderId="37" xfId="0" applyFont="1" applyFill="1" applyBorder="1"/>
    <xf numFmtId="0" fontId="40" fillId="0" borderId="37" xfId="0" applyFont="1" applyFill="1" applyBorder="1" applyAlignment="1">
      <alignment horizontal="center"/>
    </xf>
    <xf numFmtId="0" fontId="40" fillId="0" borderId="0" xfId="0" applyFont="1"/>
    <xf numFmtId="2" fontId="40" fillId="0" borderId="0" xfId="0" applyNumberFormat="1" applyFont="1" applyFill="1" applyAlignment="1">
      <alignment horizontal="center" vertical="center"/>
    </xf>
    <xf numFmtId="165" fontId="40" fillId="0" borderId="0" xfId="0" applyNumberFormat="1" applyFont="1" applyFill="1" applyBorder="1" applyAlignment="1">
      <alignment horizontal="center" vertical="center"/>
    </xf>
    <xf numFmtId="0" fontId="40" fillId="11" borderId="1" xfId="0" applyFont="1" applyFill="1" applyBorder="1"/>
    <xf numFmtId="165" fontId="40" fillId="11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165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5" fontId="41" fillId="0" borderId="0" xfId="0" applyNumberFormat="1" applyFont="1" applyAlignment="1">
      <alignment horizontal="center" vertical="center"/>
    </xf>
    <xf numFmtId="0" fontId="40" fillId="0" borderId="1" xfId="0" applyFont="1" applyBorder="1"/>
    <xf numFmtId="165" fontId="41" fillId="0" borderId="1" xfId="0" applyNumberFormat="1" applyFont="1" applyBorder="1" applyAlignment="1">
      <alignment horizontal="center" vertical="center"/>
    </xf>
    <xf numFmtId="0" fontId="13" fillId="0" borderId="37" xfId="0" applyFont="1" applyFill="1" applyBorder="1"/>
    <xf numFmtId="0" fontId="40" fillId="0" borderId="37" xfId="0" applyFont="1" applyFill="1" applyBorder="1" applyAlignment="1">
      <alignment horizontal="right" vertical="center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3" fontId="40" fillId="0" borderId="0" xfId="0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3" fontId="39" fillId="0" borderId="0" xfId="0" applyNumberFormat="1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42" fillId="0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Fill="1" applyAlignment="1">
      <alignment vertical="center"/>
    </xf>
    <xf numFmtId="0" fontId="38" fillId="0" borderId="26" xfId="0" applyFont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3" fontId="38" fillId="0" borderId="26" xfId="0" applyNumberFormat="1" applyFont="1" applyFill="1" applyBorder="1" applyAlignment="1">
      <alignment vertical="center"/>
    </xf>
    <xf numFmtId="0" fontId="39" fillId="0" borderId="38" xfId="0" applyFont="1" applyBorder="1" applyAlignment="1">
      <alignment vertical="center" wrapText="1"/>
    </xf>
    <xf numFmtId="0" fontId="39" fillId="0" borderId="38" xfId="0" applyFont="1" applyBorder="1" applyAlignment="1">
      <alignment horizontal="center" vertical="center" wrapText="1"/>
    </xf>
    <xf numFmtId="3" fontId="39" fillId="0" borderId="38" xfId="0" applyNumberFormat="1" applyFont="1" applyFill="1" applyBorder="1" applyAlignment="1">
      <alignment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vertical="center"/>
    </xf>
    <xf numFmtId="0" fontId="39" fillId="0" borderId="2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39" fillId="0" borderId="25" xfId="0" applyNumberFormat="1" applyFont="1" applyFill="1" applyBorder="1" applyAlignment="1">
      <alignment vertical="center"/>
    </xf>
    <xf numFmtId="0" fontId="40" fillId="0" borderId="0" xfId="0" applyFont="1" applyBorder="1" applyAlignment="1">
      <alignment horizontal="center" vertical="center" wrapText="1"/>
    </xf>
    <xf numFmtId="165" fontId="39" fillId="0" borderId="0" xfId="0" applyNumberFormat="1" applyFont="1" applyFill="1" applyBorder="1" applyAlignment="1">
      <alignment vertical="center"/>
    </xf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165" fontId="39" fillId="0" borderId="2" xfId="0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165" fontId="4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65" fontId="13" fillId="0" borderId="0" xfId="0" applyNumberFormat="1" applyFont="1" applyFill="1"/>
    <xf numFmtId="0" fontId="13" fillId="0" borderId="3" xfId="0" applyFont="1" applyBorder="1"/>
    <xf numFmtId="0" fontId="39" fillId="0" borderId="3" xfId="0" applyFont="1" applyBorder="1" applyAlignment="1">
      <alignment vertical="center"/>
    </xf>
    <xf numFmtId="0" fontId="43" fillId="0" borderId="0" xfId="0" applyFont="1" applyAlignment="1">
      <alignment vertical="center" wrapText="1"/>
    </xf>
    <xf numFmtId="0" fontId="37" fillId="0" borderId="0" xfId="0" applyFont="1"/>
    <xf numFmtId="0" fontId="49" fillId="15" borderId="17" xfId="69" applyFont="1" applyFill="1" applyBorder="1" applyAlignment="1">
      <alignment vertical="center"/>
    </xf>
    <xf numFmtId="0" fontId="49" fillId="15" borderId="17" xfId="69" applyFont="1" applyFill="1" applyBorder="1" applyAlignment="1">
      <alignment horizontal="center"/>
    </xf>
    <xf numFmtId="0" fontId="49" fillId="15" borderId="42" xfId="69" applyFont="1" applyFill="1" applyBorder="1" applyAlignment="1">
      <alignment vertical="center"/>
    </xf>
    <xf numFmtId="0" fontId="47" fillId="14" borderId="17" xfId="69" applyFont="1" applyFill="1" applyBorder="1" applyAlignment="1">
      <alignment vertical="center"/>
    </xf>
    <xf numFmtId="0" fontId="47" fillId="14" borderId="18" xfId="69" applyFont="1" applyFill="1" applyBorder="1" applyAlignment="1">
      <alignment vertical="center"/>
    </xf>
    <xf numFmtId="0" fontId="50" fillId="14" borderId="20" xfId="5" applyFont="1" applyFill="1" applyBorder="1" applyAlignment="1" applyProtection="1">
      <alignment horizontal="left" vertical="center"/>
      <protection locked="0"/>
    </xf>
    <xf numFmtId="0" fontId="50" fillId="14" borderId="20" xfId="5" applyFont="1" applyFill="1" applyBorder="1" applyAlignment="1" applyProtection="1">
      <alignment horizontal="center" vertical="center"/>
      <protection locked="0"/>
    </xf>
    <xf numFmtId="0" fontId="50" fillId="14" borderId="18" xfId="5" applyFont="1" applyFill="1" applyBorder="1" applyAlignment="1" applyProtection="1">
      <alignment horizontal="left" vertical="center"/>
      <protection locked="0"/>
    </xf>
    <xf numFmtId="0" fontId="50" fillId="14" borderId="18" xfId="5" applyFont="1" applyFill="1" applyBorder="1" applyAlignment="1" applyProtection="1">
      <alignment horizontal="center" vertical="center"/>
      <protection locked="0"/>
    </xf>
    <xf numFmtId="0" fontId="50" fillId="14" borderId="18" xfId="5" applyFont="1" applyFill="1" applyBorder="1" applyAlignment="1" applyProtection="1">
      <alignment horizontal="center"/>
      <protection locked="0"/>
    </xf>
    <xf numFmtId="168" fontId="50" fillId="14" borderId="43" xfId="25" applyNumberFormat="1" applyFont="1" applyFill="1" applyBorder="1" applyAlignment="1" applyProtection="1">
      <alignment horizontal="right" vertical="center"/>
      <protection locked="0"/>
    </xf>
    <xf numFmtId="0" fontId="46" fillId="13" borderId="17" xfId="69" applyFont="1" applyFill="1" applyBorder="1" applyAlignment="1">
      <alignment vertical="center"/>
    </xf>
    <xf numFmtId="0" fontId="50" fillId="13" borderId="17" xfId="5" applyFont="1" applyFill="1" applyBorder="1" applyAlignment="1" applyProtection="1">
      <alignment horizontal="center" vertical="center"/>
      <protection locked="0"/>
    </xf>
    <xf numFmtId="0" fontId="50" fillId="13" borderId="17" xfId="5" applyFont="1" applyFill="1" applyBorder="1" applyAlignment="1" applyProtection="1">
      <alignment horizontal="center"/>
      <protection locked="0"/>
    </xf>
    <xf numFmtId="0" fontId="47" fillId="0" borderId="42" xfId="2" applyFont="1" applyFill="1" applyBorder="1" applyAlignment="1">
      <alignment horizontal="left" indent="2"/>
    </xf>
    <xf numFmtId="0" fontId="42" fillId="0" borderId="17" xfId="5" applyFont="1" applyFill="1" applyBorder="1" applyAlignment="1" applyProtection="1">
      <alignment horizontal="center" vertical="center"/>
      <protection locked="0"/>
    </xf>
    <xf numFmtId="0" fontId="47" fillId="0" borderId="42" xfId="71" applyFont="1" applyFill="1" applyBorder="1" applyAlignment="1">
      <alignment horizontal="center"/>
    </xf>
    <xf numFmtId="0" fontId="47" fillId="0" borderId="42" xfId="2" applyFont="1" applyFill="1" applyBorder="1" applyAlignment="1">
      <alignment horizontal="left" wrapText="1" indent="3"/>
    </xf>
    <xf numFmtId="0" fontId="42" fillId="0" borderId="17" xfId="57" applyFont="1" applyFill="1" applyBorder="1" applyAlignment="1">
      <alignment horizontal="center" vertical="center" wrapText="1"/>
    </xf>
    <xf numFmtId="0" fontId="47" fillId="0" borderId="42" xfId="71" applyFont="1" applyFill="1" applyBorder="1" applyAlignment="1">
      <alignment horizontal="center" wrapText="1"/>
    </xf>
    <xf numFmtId="0" fontId="47" fillId="0" borderId="42" xfId="2" applyFont="1" applyBorder="1" applyAlignment="1">
      <alignment horizontal="left" wrapText="1" indent="3"/>
    </xf>
    <xf numFmtId="0" fontId="47" fillId="0" borderId="42" xfId="2" applyFont="1" applyBorder="1" applyAlignment="1">
      <alignment horizontal="left" wrapText="1" indent="2"/>
    </xf>
    <xf numFmtId="0" fontId="47" fillId="0" borderId="42" xfId="71" applyFont="1" applyBorder="1" applyAlignment="1">
      <alignment horizontal="center" wrapText="1"/>
    </xf>
    <xf numFmtId="0" fontId="47" fillId="0" borderId="42" xfId="2" applyFont="1" applyFill="1" applyBorder="1" applyAlignment="1">
      <alignment horizontal="left" indent="7"/>
    </xf>
    <xf numFmtId="0" fontId="42" fillId="0" borderId="42" xfId="71" applyFont="1" applyFill="1" applyBorder="1" applyAlignment="1">
      <alignment horizontal="center" wrapText="1"/>
    </xf>
    <xf numFmtId="0" fontId="47" fillId="0" borderId="42" xfId="2" applyFont="1" applyBorder="1" applyAlignment="1">
      <alignment horizontal="left" indent="3"/>
    </xf>
    <xf numFmtId="0" fontId="47" fillId="0" borderId="42" xfId="2" applyFont="1" applyFill="1" applyBorder="1" applyAlignment="1">
      <alignment horizontal="left" indent="3"/>
    </xf>
    <xf numFmtId="0" fontId="47" fillId="0" borderId="42" xfId="2" applyFont="1" applyBorder="1" applyAlignment="1">
      <alignment horizontal="left" indent="2"/>
    </xf>
    <xf numFmtId="0" fontId="46" fillId="13" borderId="42" xfId="2" applyFont="1" applyFill="1" applyBorder="1" applyAlignment="1">
      <alignment horizontal="left"/>
    </xf>
    <xf numFmtId="0" fontId="47" fillId="13" borderId="42" xfId="71" applyFont="1" applyFill="1" applyBorder="1" applyAlignment="1">
      <alignment horizontal="center" wrapText="1"/>
    </xf>
    <xf numFmtId="0" fontId="47" fillId="13" borderId="42" xfId="71" applyFont="1" applyFill="1" applyBorder="1" applyAlignment="1">
      <alignment horizontal="center"/>
    </xf>
    <xf numFmtId="0" fontId="46" fillId="13" borderId="17" xfId="69" applyFont="1" applyFill="1" applyBorder="1" applyAlignment="1">
      <alignment horizontal="left" vertical="center"/>
    </xf>
    <xf numFmtId="0" fontId="46" fillId="13" borderId="42" xfId="71" applyFont="1" applyFill="1" applyBorder="1" applyAlignment="1">
      <alignment horizontal="center"/>
    </xf>
    <xf numFmtId="0" fontId="47" fillId="0" borderId="42" xfId="71" applyFont="1" applyBorder="1" applyAlignment="1">
      <alignment horizontal="center"/>
    </xf>
    <xf numFmtId="0" fontId="47" fillId="0" borderId="17" xfId="2" applyFont="1" applyFill="1" applyBorder="1" applyAlignment="1">
      <alignment horizontal="center"/>
    </xf>
    <xf numFmtId="0" fontId="46" fillId="0" borderId="42" xfId="2" applyFont="1" applyBorder="1" applyAlignment="1">
      <alignment horizontal="left" indent="2"/>
    </xf>
    <xf numFmtId="0" fontId="46" fillId="0" borderId="17" xfId="2" applyFont="1" applyBorder="1" applyAlignment="1">
      <alignment horizontal="center"/>
    </xf>
    <xf numFmtId="0" fontId="50" fillId="0" borderId="42" xfId="71" applyFont="1" applyFill="1" applyBorder="1" applyAlignment="1">
      <alignment horizontal="center"/>
    </xf>
    <xf numFmtId="0" fontId="47" fillId="0" borderId="43" xfId="2" applyFont="1" applyFill="1" applyBorder="1" applyAlignment="1">
      <alignment horizontal="left" indent="2"/>
    </xf>
    <xf numFmtId="0" fontId="42" fillId="0" borderId="18" xfId="5" applyFont="1" applyFill="1" applyBorder="1" applyAlignment="1" applyProtection="1">
      <alignment horizontal="center" vertical="center"/>
      <protection locked="0"/>
    </xf>
    <xf numFmtId="4" fontId="50" fillId="14" borderId="20" xfId="5" applyNumberFormat="1" applyFont="1" applyFill="1" applyBorder="1" applyAlignment="1" applyProtection="1">
      <alignment horizontal="center" vertical="center"/>
      <protection locked="0"/>
    </xf>
    <xf numFmtId="172" fontId="50" fillId="14" borderId="20" xfId="5" applyNumberFormat="1" applyFont="1" applyFill="1" applyBorder="1" applyAlignment="1" applyProtection="1">
      <alignment horizontal="center" vertical="center"/>
      <protection locked="0"/>
    </xf>
    <xf numFmtId="0" fontId="46" fillId="16" borderId="18" xfId="71" applyFont="1" applyFill="1" applyBorder="1" applyAlignment="1">
      <alignment horizontal="center"/>
    </xf>
    <xf numFmtId="10" fontId="50" fillId="14" borderId="18" xfId="25" applyNumberFormat="1" applyFont="1" applyFill="1" applyBorder="1" applyAlignment="1" applyProtection="1">
      <alignment horizontal="center" vertical="center"/>
      <protection locked="0"/>
    </xf>
    <xf numFmtId="0" fontId="46" fillId="13" borderId="42" xfId="2" applyFont="1" applyFill="1" applyBorder="1" applyAlignment="1">
      <alignment horizontal="left" indent="1"/>
    </xf>
    <xf numFmtId="0" fontId="46" fillId="0" borderId="42" xfId="2" applyFont="1" applyFill="1" applyBorder="1" applyAlignment="1">
      <alignment horizontal="left" indent="2"/>
    </xf>
    <xf numFmtId="0" fontId="50" fillId="0" borderId="17" xfId="5" applyFont="1" applyFill="1" applyBorder="1" applyAlignment="1" applyProtection="1">
      <alignment horizontal="center" vertical="center"/>
      <protection locked="0"/>
    </xf>
    <xf numFmtId="0" fontId="47" fillId="0" borderId="17" xfId="72" applyFont="1" applyFill="1" applyBorder="1" applyAlignment="1">
      <alignment horizontal="left" vertical="center" indent="3"/>
    </xf>
    <xf numFmtId="0" fontId="47" fillId="0" borderId="42" xfId="2" applyFont="1" applyBorder="1" applyAlignment="1">
      <alignment horizontal="left" indent="5"/>
    </xf>
    <xf numFmtId="0" fontId="47" fillId="0" borderId="42" xfId="2" applyFont="1" applyBorder="1" applyAlignment="1">
      <alignment horizontal="left" indent="7"/>
    </xf>
    <xf numFmtId="0" fontId="46" fillId="0" borderId="42" xfId="71" applyFont="1" applyFill="1" applyBorder="1" applyAlignment="1">
      <alignment horizontal="center"/>
    </xf>
    <xf numFmtId="0" fontId="42" fillId="0" borderId="43" xfId="5" applyFont="1" applyFill="1" applyBorder="1" applyAlignment="1" applyProtection="1">
      <alignment horizontal="center" vertical="center"/>
      <protection locked="0"/>
    </xf>
    <xf numFmtId="0" fontId="47" fillId="0" borderId="43" xfId="71" applyFont="1" applyFill="1" applyBorder="1" applyAlignment="1">
      <alignment horizontal="center"/>
    </xf>
    <xf numFmtId="0" fontId="50" fillId="14" borderId="44" xfId="5" applyFont="1" applyFill="1" applyBorder="1" applyAlignment="1" applyProtection="1">
      <alignment horizontal="center" vertical="center"/>
      <protection locked="0"/>
    </xf>
    <xf numFmtId="0" fontId="50" fillId="14" borderId="44" xfId="5" applyFont="1" applyFill="1" applyBorder="1" applyAlignment="1" applyProtection="1">
      <alignment horizontal="center"/>
      <protection locked="0"/>
    </xf>
    <xf numFmtId="4" fontId="50" fillId="17" borderId="44" xfId="5" applyNumberFormat="1" applyFont="1" applyFill="1" applyBorder="1" applyAlignment="1" applyProtection="1">
      <protection locked="0"/>
    </xf>
    <xf numFmtId="175" fontId="50" fillId="17" borderId="44" xfId="5" applyNumberFormat="1" applyFont="1" applyFill="1" applyBorder="1" applyAlignment="1" applyProtection="1">
      <protection locked="0"/>
    </xf>
    <xf numFmtId="0" fontId="50" fillId="14" borderId="17" xfId="5" applyFont="1" applyFill="1" applyBorder="1" applyAlignment="1" applyProtection="1">
      <alignment horizontal="left" vertical="center"/>
      <protection locked="0"/>
    </xf>
    <xf numFmtId="0" fontId="50" fillId="14" borderId="42" xfId="5" applyFont="1" applyFill="1" applyBorder="1" applyAlignment="1" applyProtection="1">
      <alignment horizontal="center" vertical="center"/>
      <protection locked="0"/>
    </xf>
    <xf numFmtId="0" fontId="50" fillId="14" borderId="42" xfId="5" applyFont="1" applyFill="1" applyBorder="1" applyAlignment="1" applyProtection="1">
      <alignment horizontal="center"/>
      <protection locked="0"/>
    </xf>
    <xf numFmtId="10" fontId="50" fillId="14" borderId="42" xfId="25" applyNumberFormat="1" applyFont="1" applyFill="1" applyBorder="1" applyAlignment="1" applyProtection="1">
      <protection locked="0"/>
    </xf>
    <xf numFmtId="10" fontId="50" fillId="17" borderId="42" xfId="25" applyNumberFormat="1" applyFont="1" applyFill="1" applyBorder="1" applyAlignment="1" applyProtection="1">
      <protection locked="0"/>
    </xf>
    <xf numFmtId="0" fontId="47" fillId="0" borderId="41" xfId="70" applyFont="1" applyFill="1" applyBorder="1"/>
    <xf numFmtId="0" fontId="47" fillId="0" borderId="41" xfId="69" applyNumberFormat="1" applyFont="1" applyFill="1" applyBorder="1" applyAlignment="1" applyProtection="1"/>
    <xf numFmtId="0" fontId="47" fillId="0" borderId="41" xfId="69" applyNumberFormat="1" applyFont="1" applyFill="1" applyBorder="1" applyAlignment="1" applyProtection="1">
      <alignment horizontal="center"/>
    </xf>
    <xf numFmtId="0" fontId="38" fillId="0" borderId="5" xfId="0" applyFont="1" applyBorder="1" applyAlignment="1">
      <alignment horizontal="center" vertical="center" wrapText="1"/>
    </xf>
    <xf numFmtId="0" fontId="53" fillId="0" borderId="0" xfId="0" applyFont="1"/>
    <xf numFmtId="0" fontId="40" fillId="0" borderId="3" xfId="0" applyFont="1" applyBorder="1"/>
    <xf numFmtId="0" fontId="54" fillId="0" borderId="0" xfId="0" applyFont="1"/>
    <xf numFmtId="0" fontId="40" fillId="0" borderId="0" xfId="0" applyFont="1" applyBorder="1"/>
    <xf numFmtId="0" fontId="50" fillId="0" borderId="1" xfId="0" applyFont="1" applyBorder="1"/>
    <xf numFmtId="2" fontId="13" fillId="0" borderId="0" xfId="0" applyNumberFormat="1" applyFont="1"/>
    <xf numFmtId="0" fontId="40" fillId="0" borderId="1" xfId="0" applyFont="1" applyFill="1" applyBorder="1"/>
    <xf numFmtId="14" fontId="40" fillId="0" borderId="1" xfId="8" applyNumberFormat="1" applyFont="1" applyFill="1" applyBorder="1" applyAlignment="1">
      <alignment horizontal="right"/>
    </xf>
    <xf numFmtId="0" fontId="42" fillId="0" borderId="0" xfId="0" applyFont="1"/>
    <xf numFmtId="0" fontId="13" fillId="0" borderId="0" xfId="0" applyFont="1" applyBorder="1"/>
    <xf numFmtId="14" fontId="13" fillId="0" borderId="0" xfId="0" applyNumberFormat="1" applyFont="1"/>
    <xf numFmtId="164" fontId="39" fillId="0" borderId="1" xfId="6" applyFont="1" applyFill="1" applyBorder="1"/>
    <xf numFmtId="1" fontId="38" fillId="0" borderId="1" xfId="6" applyNumberFormat="1" applyFont="1" applyFill="1" applyBorder="1" applyAlignment="1">
      <alignment horizontal="center"/>
    </xf>
    <xf numFmtId="164" fontId="38" fillId="0" borderId="0" xfId="6" applyFont="1" applyFill="1" applyBorder="1" applyAlignment="1"/>
    <xf numFmtId="165" fontId="39" fillId="0" borderId="0" xfId="7" applyNumberFormat="1" applyFont="1" applyFill="1" applyBorder="1" applyAlignment="1">
      <alignment horizontal="center"/>
    </xf>
    <xf numFmtId="2" fontId="39" fillId="0" borderId="0" xfId="7" applyNumberFormat="1" applyFont="1" applyFill="1" applyBorder="1" applyAlignment="1">
      <alignment horizontal="center"/>
    </xf>
    <xf numFmtId="165" fontId="39" fillId="0" borderId="0" xfId="6" applyNumberFormat="1" applyFont="1" applyFill="1" applyBorder="1" applyAlignment="1">
      <alignment horizontal="center"/>
    </xf>
    <xf numFmtId="2" fontId="39" fillId="0" borderId="0" xfId="6" applyNumberFormat="1" applyFont="1" applyFill="1" applyBorder="1" applyAlignment="1">
      <alignment horizontal="center"/>
    </xf>
    <xf numFmtId="164" fontId="39" fillId="0" borderId="0" xfId="6" applyFont="1" applyFill="1" applyBorder="1" applyAlignment="1"/>
    <xf numFmtId="0" fontId="40" fillId="0" borderId="1" xfId="0" applyFont="1" applyBorder="1" applyAlignment="1">
      <alignment horizontal="center"/>
    </xf>
    <xf numFmtId="0" fontId="55" fillId="0" borderId="0" xfId="0" applyFont="1"/>
    <xf numFmtId="165" fontId="13" fillId="0" borderId="0" xfId="0" applyNumberFormat="1" applyFont="1" applyBorder="1" applyAlignment="1">
      <alignment horizontal="center"/>
    </xf>
    <xf numFmtId="165" fontId="13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165" fontId="38" fillId="0" borderId="0" xfId="0" applyNumberFormat="1" applyFont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165" fontId="38" fillId="0" borderId="3" xfId="0" applyNumberFormat="1" applyFont="1" applyBorder="1" applyAlignment="1">
      <alignment horizontal="center" vertical="center" wrapText="1"/>
    </xf>
    <xf numFmtId="0" fontId="13" fillId="0" borderId="0" xfId="18" applyFont="1"/>
    <xf numFmtId="0" fontId="40" fillId="0" borderId="3" xfId="18" applyFont="1" applyBorder="1"/>
    <xf numFmtId="0" fontId="13" fillId="0" borderId="3" xfId="18" applyFont="1" applyBorder="1"/>
    <xf numFmtId="0" fontId="13" fillId="0" borderId="0" xfId="18" applyFont="1" applyFill="1" applyBorder="1"/>
    <xf numFmtId="3" fontId="13" fillId="0" borderId="0" xfId="18" applyNumberFormat="1" applyFont="1" applyAlignment="1">
      <alignment horizontal="center" vertical="center"/>
    </xf>
    <xf numFmtId="0" fontId="13" fillId="0" borderId="0" xfId="18" applyFont="1" applyFill="1"/>
    <xf numFmtId="166" fontId="13" fillId="0" borderId="0" xfId="18" applyNumberFormat="1" applyFont="1"/>
    <xf numFmtId="0" fontId="42" fillId="0" borderId="0" xfId="20" applyFont="1"/>
    <xf numFmtId="0" fontId="42" fillId="0" borderId="0" xfId="20" applyFont="1" applyBorder="1"/>
    <xf numFmtId="2" fontId="42" fillId="0" borderId="0" xfId="19" applyNumberFormat="1" applyFont="1" applyFill="1" applyBorder="1" applyAlignment="1">
      <alignment horizontal="center"/>
    </xf>
    <xf numFmtId="0" fontId="13" fillId="0" borderId="0" xfId="30" applyFont="1"/>
    <xf numFmtId="0" fontId="40" fillId="0" borderId="3" xfId="30" applyFont="1" applyFill="1" applyBorder="1"/>
    <xf numFmtId="0" fontId="13" fillId="0" borderId="3" xfId="30" applyFont="1" applyFill="1" applyBorder="1"/>
    <xf numFmtId="0" fontId="13" fillId="0" borderId="0" xfId="30" applyFont="1" applyFill="1"/>
    <xf numFmtId="0" fontId="13" fillId="0" borderId="0" xfId="30" applyFont="1" applyFill="1" applyBorder="1"/>
    <xf numFmtId="0" fontId="40" fillId="0" borderId="0" xfId="30" applyFont="1" applyFill="1" applyBorder="1"/>
    <xf numFmtId="0" fontId="40" fillId="0" borderId="0" xfId="30" applyFont="1" applyFill="1"/>
    <xf numFmtId="2" fontId="13" fillId="0" borderId="0" xfId="30" applyNumberFormat="1" applyFont="1" applyFill="1" applyBorder="1"/>
    <xf numFmtId="166" fontId="13" fillId="0" borderId="0" xfId="30" applyNumberFormat="1" applyFont="1" applyFill="1" applyBorder="1"/>
    <xf numFmtId="0" fontId="42" fillId="0" borderId="0" xfId="30" applyFont="1" applyFill="1" applyBorder="1"/>
    <xf numFmtId="166" fontId="42" fillId="0" borderId="0" xfId="30" applyNumberFormat="1" applyFont="1" applyFill="1" applyBorder="1"/>
    <xf numFmtId="0" fontId="42" fillId="0" borderId="0" xfId="30" applyFont="1" applyFill="1"/>
    <xf numFmtId="165" fontId="13" fillId="0" borderId="0" xfId="30" applyNumberFormat="1" applyFont="1" applyFill="1" applyBorder="1"/>
    <xf numFmtId="165" fontId="42" fillId="0" borderId="0" xfId="3" applyNumberFormat="1" applyFont="1" applyFill="1" applyBorder="1" applyAlignment="1">
      <alignment vertical="center"/>
    </xf>
    <xf numFmtId="1" fontId="13" fillId="0" borderId="0" xfId="30" applyNumberFormat="1" applyFont="1" applyBorder="1"/>
    <xf numFmtId="0" fontId="13" fillId="0" borderId="0" xfId="30" applyFont="1" applyBorder="1"/>
    <xf numFmtId="0" fontId="13" fillId="0" borderId="0" xfId="30" applyFont="1" applyFill="1" applyBorder="1" applyAlignment="1">
      <alignment horizontal="right"/>
    </xf>
    <xf numFmtId="0" fontId="40" fillId="0" borderId="3" xfId="0" applyFont="1" applyBorder="1" applyAlignment="1">
      <alignment vertical="center"/>
    </xf>
    <xf numFmtId="0" fontId="13" fillId="0" borderId="3" xfId="30" applyFont="1" applyBorder="1"/>
    <xf numFmtId="0" fontId="43" fillId="0" borderId="4" xfId="0" applyFont="1" applyFill="1" applyBorder="1" applyAlignment="1">
      <alignment vertical="center"/>
    </xf>
    <xf numFmtId="2" fontId="13" fillId="0" borderId="0" xfId="30" applyNumberFormat="1" applyFont="1"/>
    <xf numFmtId="0" fontId="40" fillId="0" borderId="0" xfId="3" applyFont="1" applyFill="1" applyBorder="1" applyAlignment="1">
      <alignment vertical="center"/>
    </xf>
    <xf numFmtId="0" fontId="13" fillId="3" borderId="0" xfId="0" applyFont="1" applyFill="1"/>
    <xf numFmtId="0" fontId="40" fillId="0" borderId="0" xfId="0" applyFont="1" applyBorder="1" applyAlignment="1">
      <alignment vertical="center"/>
    </xf>
    <xf numFmtId="166" fontId="40" fillId="0" borderId="0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vertical="center"/>
    </xf>
    <xf numFmtId="168" fontId="39" fillId="0" borderId="0" xfId="12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2" fontId="50" fillId="0" borderId="0" xfId="0" applyNumberFormat="1" applyFont="1" applyFill="1" applyBorder="1" applyAlignment="1">
      <alignment vertical="center" wrapText="1"/>
    </xf>
    <xf numFmtId="2" fontId="40" fillId="0" borderId="0" xfId="0" applyNumberFormat="1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53" fillId="0" borderId="0" xfId="0" applyFont="1" applyFill="1"/>
    <xf numFmtId="3" fontId="13" fillId="0" borderId="1" xfId="0" applyNumberFormat="1" applyFont="1" applyBorder="1"/>
    <xf numFmtId="0" fontId="43" fillId="0" borderId="0" xfId="0" applyFont="1"/>
    <xf numFmtId="1" fontId="13" fillId="0" borderId="1" xfId="0" applyNumberFormat="1" applyFont="1" applyBorder="1"/>
    <xf numFmtId="0" fontId="40" fillId="12" borderId="1" xfId="9" applyFont="1" applyFill="1" applyBorder="1" applyAlignment="1">
      <alignment vertical="top" wrapText="1"/>
    </xf>
    <xf numFmtId="0" fontId="40" fillId="12" borderId="1" xfId="9" applyFont="1" applyFill="1" applyBorder="1" applyAlignment="1">
      <alignment horizontal="right" vertical="top" wrapText="1"/>
    </xf>
    <xf numFmtId="3" fontId="57" fillId="12" borderId="0" xfId="9" applyNumberFormat="1" applyFont="1" applyFill="1" applyBorder="1" applyProtection="1">
      <protection locked="0"/>
    </xf>
    <xf numFmtId="3" fontId="42" fillId="12" borderId="0" xfId="9" applyNumberFormat="1" applyFont="1" applyFill="1" applyBorder="1" applyProtection="1">
      <protection locked="0"/>
    </xf>
    <xf numFmtId="3" fontId="50" fillId="0" borderId="39" xfId="9" applyNumberFormat="1" applyFont="1" applyFill="1" applyBorder="1"/>
    <xf numFmtId="3" fontId="57" fillId="0" borderId="39" xfId="9" applyNumberFormat="1" applyFont="1" applyFill="1" applyBorder="1"/>
    <xf numFmtId="167" fontId="42" fillId="0" borderId="39" xfId="9" applyNumberFormat="1" applyFont="1" applyFill="1" applyBorder="1"/>
    <xf numFmtId="3" fontId="13" fillId="0" borderId="0" xfId="0" applyNumberFormat="1" applyFont="1" applyFill="1" applyAlignment="1">
      <alignment horizontal="center" vertical="center"/>
    </xf>
    <xf numFmtId="0" fontId="5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59" fillId="0" borderId="0" xfId="0" applyFont="1" applyAlignment="1">
      <alignment vertical="center"/>
    </xf>
    <xf numFmtId="165" fontId="13" fillId="0" borderId="1" xfId="0" applyNumberFormat="1" applyFont="1" applyBorder="1"/>
    <xf numFmtId="0" fontId="40" fillId="0" borderId="37" xfId="0" applyFont="1" applyBorder="1"/>
    <xf numFmtId="165" fontId="13" fillId="0" borderId="37" xfId="0" applyNumberFormat="1" applyFont="1" applyBorder="1"/>
    <xf numFmtId="0" fontId="42" fillId="0" borderId="0" xfId="22" applyFont="1"/>
    <xf numFmtId="0" fontId="50" fillId="0" borderId="0" xfId="22" applyFont="1"/>
    <xf numFmtId="0" fontId="50" fillId="0" borderId="3" xfId="22" applyFont="1" applyBorder="1"/>
    <xf numFmtId="0" fontId="42" fillId="0" borderId="3" xfId="22" applyFont="1" applyBorder="1"/>
    <xf numFmtId="0" fontId="53" fillId="0" borderId="1" xfId="52" applyFont="1" applyBorder="1" applyAlignment="1">
      <alignment horizontal="left"/>
    </xf>
    <xf numFmtId="0" fontId="53" fillId="0" borderId="0" xfId="52" applyFont="1" applyBorder="1" applyAlignment="1">
      <alignment horizontal="left"/>
    </xf>
    <xf numFmtId="166" fontId="53" fillId="0" borderId="0" xfId="52" applyNumberFormat="1" applyFont="1" applyBorder="1" applyAlignment="1">
      <alignment horizontal="left"/>
    </xf>
    <xf numFmtId="0" fontId="13" fillId="0" borderId="1" xfId="52" applyFont="1" applyBorder="1"/>
    <xf numFmtId="0" fontId="13" fillId="0" borderId="37" xfId="52" applyFont="1" applyBorder="1" applyAlignment="1">
      <alignment horizontal="right"/>
    </xf>
    <xf numFmtId="0" fontId="13" fillId="0" borderId="0" xfId="52" applyFont="1" applyBorder="1"/>
    <xf numFmtId="3" fontId="13" fillId="0" borderId="2" xfId="52" applyNumberFormat="1" applyFont="1" applyBorder="1" applyAlignment="1"/>
    <xf numFmtId="3" fontId="13" fillId="0" borderId="2" xfId="52" applyNumberFormat="1" applyFont="1" applyFill="1" applyBorder="1" applyAlignment="1"/>
    <xf numFmtId="3" fontId="13" fillId="0" borderId="0" xfId="52" applyNumberFormat="1" applyFont="1" applyFill="1" applyBorder="1" applyAlignment="1"/>
    <xf numFmtId="3" fontId="13" fillId="0" borderId="0" xfId="52" applyNumberFormat="1" applyFont="1" applyBorder="1" applyAlignment="1"/>
    <xf numFmtId="0" fontId="13" fillId="0" borderId="0" xfId="52" applyFont="1"/>
    <xf numFmtId="166" fontId="13" fillId="0" borderId="0" xfId="52" applyNumberFormat="1" applyFont="1" applyBorder="1"/>
    <xf numFmtId="166" fontId="42" fillId="0" borderId="0" xfId="59" applyNumberFormat="1" applyFont="1" applyFill="1" applyBorder="1" applyAlignment="1"/>
    <xf numFmtId="166" fontId="13" fillId="0" borderId="0" xfId="52" applyNumberFormat="1" applyFont="1" applyFill="1" applyBorder="1"/>
    <xf numFmtId="0" fontId="13" fillId="0" borderId="0" xfId="52" applyFont="1" applyAlignment="1">
      <alignment horizontal="left" indent="1"/>
    </xf>
    <xf numFmtId="0" fontId="13" fillId="0" borderId="1" xfId="52" applyFont="1" applyBorder="1" applyAlignment="1">
      <alignment horizontal="left" indent="1"/>
    </xf>
    <xf numFmtId="166" fontId="13" fillId="0" borderId="1" xfId="52" applyNumberFormat="1" applyFont="1" applyBorder="1"/>
    <xf numFmtId="166" fontId="13" fillId="0" borderId="1" xfId="52" applyNumberFormat="1" applyFont="1" applyFill="1" applyBorder="1"/>
    <xf numFmtId="4" fontId="47" fillId="0" borderId="0" xfId="60" applyNumberFormat="1" applyFont="1"/>
    <xf numFmtId="0" fontId="53" fillId="0" borderId="3" xfId="60" applyFont="1" applyBorder="1" applyAlignment="1"/>
    <xf numFmtId="0" fontId="53" fillId="0" borderId="0" xfId="60" applyFont="1" applyBorder="1" applyAlignment="1"/>
    <xf numFmtId="0" fontId="47" fillId="0" borderId="0" xfId="60" applyFont="1"/>
    <xf numFmtId="172" fontId="47" fillId="0" borderId="0" xfId="61" applyNumberFormat="1" applyFont="1" applyAlignment="1">
      <alignment horizontal="left"/>
    </xf>
    <xf numFmtId="0" fontId="47" fillId="0" borderId="1" xfId="60" applyFont="1" applyBorder="1"/>
    <xf numFmtId="0" fontId="47" fillId="0" borderId="1" xfId="60" applyFont="1" applyBorder="1" applyAlignment="1">
      <alignment horizontal="center"/>
    </xf>
    <xf numFmtId="172" fontId="47" fillId="0" borderId="0" xfId="61" applyNumberFormat="1" applyFont="1" applyAlignment="1">
      <alignment horizontal="center"/>
    </xf>
    <xf numFmtId="172" fontId="47" fillId="0" borderId="1" xfId="61" applyNumberFormat="1" applyFont="1" applyBorder="1" applyAlignment="1">
      <alignment horizontal="center"/>
    </xf>
    <xf numFmtId="0" fontId="47" fillId="0" borderId="2" xfId="60" applyFont="1" applyFill="1" applyBorder="1" applyAlignment="1">
      <alignment horizontal="left"/>
    </xf>
    <xf numFmtId="2" fontId="47" fillId="0" borderId="0" xfId="60" applyNumberFormat="1" applyFont="1" applyAlignment="1">
      <alignment horizontal="center"/>
    </xf>
    <xf numFmtId="9" fontId="47" fillId="0" borderId="0" xfId="12" applyNumberFormat="1" applyFont="1" applyAlignment="1">
      <alignment horizontal="center"/>
    </xf>
    <xf numFmtId="0" fontId="47" fillId="0" borderId="0" xfId="60" applyFont="1" applyFill="1" applyBorder="1" applyAlignment="1">
      <alignment horizontal="left" wrapText="1"/>
    </xf>
    <xf numFmtId="2" fontId="47" fillId="0" borderId="0" xfId="60" applyNumberFormat="1" applyFont="1" applyFill="1" applyAlignment="1">
      <alignment horizontal="center"/>
    </xf>
    <xf numFmtId="172" fontId="47" fillId="0" borderId="1" xfId="61" applyNumberFormat="1" applyFont="1" applyBorder="1" applyAlignment="1">
      <alignment horizontal="left"/>
    </xf>
    <xf numFmtId="9" fontId="47" fillId="0" borderId="1" xfId="12" applyNumberFormat="1" applyFont="1" applyBorder="1" applyAlignment="1">
      <alignment horizontal="center"/>
    </xf>
    <xf numFmtId="0" fontId="47" fillId="0" borderId="0" xfId="60" applyFont="1" applyBorder="1"/>
    <xf numFmtId="0" fontId="47" fillId="0" borderId="0" xfId="60" applyFont="1" applyFill="1" applyBorder="1" applyAlignment="1">
      <alignment horizontal="left"/>
    </xf>
    <xf numFmtId="0" fontId="47" fillId="10" borderId="37" xfId="60" applyFont="1" applyFill="1" applyBorder="1"/>
    <xf numFmtId="165" fontId="47" fillId="10" borderId="37" xfId="60" applyNumberFormat="1" applyFont="1" applyFill="1" applyBorder="1" applyAlignment="1">
      <alignment horizontal="center"/>
    </xf>
    <xf numFmtId="0" fontId="47" fillId="0" borderId="0" xfId="60" applyFont="1" applyFill="1"/>
    <xf numFmtId="3" fontId="47" fillId="0" borderId="0" xfId="60" applyNumberFormat="1" applyFont="1" applyFill="1" applyAlignment="1">
      <alignment horizontal="center" vertical="center"/>
    </xf>
    <xf numFmtId="10" fontId="47" fillId="0" borderId="0" xfId="60" applyNumberFormat="1" applyFont="1" applyAlignment="1">
      <alignment horizontal="center"/>
    </xf>
    <xf numFmtId="166" fontId="47" fillId="0" borderId="0" xfId="60" applyNumberFormat="1" applyFont="1"/>
    <xf numFmtId="165" fontId="47" fillId="0" borderId="0" xfId="60" applyNumberFormat="1" applyFont="1"/>
    <xf numFmtId="0" fontId="53" fillId="0" borderId="3" xfId="0" applyFont="1" applyBorder="1" applyAlignment="1"/>
    <xf numFmtId="0" fontId="53" fillId="0" borderId="0" xfId="0" applyFont="1" applyBorder="1" applyAlignment="1"/>
    <xf numFmtId="0" fontId="13" fillId="0" borderId="40" xfId="0" applyFont="1" applyFill="1" applyBorder="1"/>
    <xf numFmtId="0" fontId="13" fillId="0" borderId="4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50" fillId="0" borderId="0" xfId="22" applyNumberFormat="1" applyFont="1" applyFill="1" applyBorder="1" applyAlignment="1"/>
    <xf numFmtId="0" fontId="42" fillId="0" borderId="0" xfId="22" applyNumberFormat="1" applyFont="1" applyFill="1" applyBorder="1" applyAlignment="1"/>
    <xf numFmtId="0" fontId="40" fillId="0" borderId="0" xfId="22" applyNumberFormat="1" applyFont="1" applyFill="1" applyBorder="1" applyAlignment="1"/>
    <xf numFmtId="0" fontId="13" fillId="0" borderId="0" xfId="22" applyFont="1" applyFill="1"/>
    <xf numFmtId="0" fontId="42" fillId="0" borderId="1" xfId="22" applyNumberFormat="1" applyFont="1" applyFill="1" applyBorder="1" applyAlignment="1"/>
    <xf numFmtId="0" fontId="42" fillId="0" borderId="0" xfId="22" applyFont="1" applyFill="1" applyBorder="1"/>
    <xf numFmtId="0" fontId="13" fillId="0" borderId="0" xfId="22" applyFont="1" applyFill="1" applyBorder="1"/>
    <xf numFmtId="0" fontId="13" fillId="0" borderId="0" xfId="2" applyFont="1"/>
    <xf numFmtId="0" fontId="40" fillId="0" borderId="3" xfId="2" applyFont="1" applyBorder="1"/>
    <xf numFmtId="0" fontId="13" fillId="0" borderId="3" xfId="2" applyFont="1" applyBorder="1"/>
    <xf numFmtId="0" fontId="13" fillId="0" borderId="0" xfId="2" applyFont="1" applyFill="1"/>
    <xf numFmtId="0" fontId="13" fillId="0" borderId="0" xfId="2" applyFont="1" applyFill="1" applyBorder="1"/>
    <xf numFmtId="0" fontId="60" fillId="0" borderId="3" xfId="2" applyFont="1" applyBorder="1" applyAlignment="1">
      <alignment vertical="center"/>
    </xf>
    <xf numFmtId="0" fontId="60" fillId="0" borderId="0" xfId="2" applyFont="1" applyBorder="1" applyAlignment="1">
      <alignment vertical="center"/>
    </xf>
    <xf numFmtId="0" fontId="38" fillId="0" borderId="3" xfId="2" applyFont="1" applyFill="1" applyBorder="1" applyAlignment="1">
      <alignment vertical="center"/>
    </xf>
    <xf numFmtId="0" fontId="38" fillId="0" borderId="3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vertical="center" wrapText="1"/>
    </xf>
    <xf numFmtId="168" fontId="13" fillId="0" borderId="0" xfId="25" applyNumberFormat="1" applyFont="1" applyFill="1" applyBorder="1"/>
    <xf numFmtId="165" fontId="13" fillId="0" borderId="0" xfId="2" applyNumberFormat="1" applyFont="1" applyFill="1" applyBorder="1"/>
    <xf numFmtId="0" fontId="39" fillId="0" borderId="3" xfId="2" applyFont="1" applyFill="1" applyBorder="1" applyAlignment="1">
      <alignment horizontal="center" vertical="center"/>
    </xf>
    <xf numFmtId="0" fontId="39" fillId="0" borderId="3" xfId="2" applyFont="1" applyFill="1" applyBorder="1" applyAlignment="1">
      <alignment horizontal="center" vertical="center" wrapText="1"/>
    </xf>
    <xf numFmtId="0" fontId="39" fillId="0" borderId="35" xfId="2" applyFont="1" applyFill="1" applyBorder="1" applyAlignment="1">
      <alignment horizontal="center" vertical="center"/>
    </xf>
    <xf numFmtId="0" fontId="39" fillId="0" borderId="0" xfId="2" applyFont="1" applyFill="1" applyAlignment="1">
      <alignment vertical="center"/>
    </xf>
    <xf numFmtId="0" fontId="39" fillId="0" borderId="0" xfId="2" applyFont="1" applyFill="1" applyAlignment="1">
      <alignment horizontal="center" vertical="center" wrapText="1"/>
    </xf>
    <xf numFmtId="165" fontId="39" fillId="0" borderId="34" xfId="2" applyNumberFormat="1" applyFont="1" applyFill="1" applyBorder="1" applyAlignment="1">
      <alignment horizontal="center" vertical="center"/>
    </xf>
    <xf numFmtId="0" fontId="47" fillId="0" borderId="0" xfId="2" applyFont="1" applyFill="1" applyBorder="1" applyAlignment="1">
      <alignment horizontal="left" vertical="center" wrapText="1"/>
    </xf>
    <xf numFmtId="0" fontId="39" fillId="0" borderId="3" xfId="2" applyFont="1" applyFill="1" applyBorder="1" applyAlignment="1">
      <alignment vertical="center"/>
    </xf>
    <xf numFmtId="165" fontId="39" fillId="0" borderId="35" xfId="2" applyNumberFormat="1" applyFont="1" applyFill="1" applyBorder="1" applyAlignment="1">
      <alignment horizontal="center" vertical="center"/>
    </xf>
    <xf numFmtId="165" fontId="38" fillId="0" borderId="19" xfId="2" applyNumberFormat="1" applyFont="1" applyFill="1" applyBorder="1" applyAlignment="1">
      <alignment horizontal="center" vertical="center"/>
    </xf>
    <xf numFmtId="0" fontId="43" fillId="0" borderId="0" xfId="2" applyFont="1" applyFill="1" applyBorder="1" applyAlignment="1">
      <alignment vertical="top"/>
    </xf>
    <xf numFmtId="0" fontId="39" fillId="0" borderId="0" xfId="2" applyFont="1" applyFill="1" applyBorder="1" applyAlignment="1">
      <alignment vertical="center" wrapText="1"/>
    </xf>
    <xf numFmtId="170" fontId="13" fillId="0" borderId="0" xfId="2" applyNumberFormat="1" applyFont="1"/>
    <xf numFmtId="0" fontId="46" fillId="0" borderId="0" xfId="2" applyFont="1" applyFill="1" applyBorder="1" applyAlignment="1"/>
    <xf numFmtId="0" fontId="13" fillId="0" borderId="0" xfId="0" applyFont="1" applyFill="1" applyBorder="1"/>
    <xf numFmtId="0" fontId="38" fillId="0" borderId="0" xfId="2" applyFont="1" applyFill="1" applyBorder="1" applyAlignment="1">
      <alignment vertical="center"/>
    </xf>
    <xf numFmtId="165" fontId="39" fillId="0" borderId="0" xfId="2" applyNumberFormat="1" applyFont="1" applyFill="1" applyBorder="1" applyAlignment="1">
      <alignment horizontal="center" vertical="center"/>
    </xf>
    <xf numFmtId="0" fontId="13" fillId="0" borderId="0" xfId="2" applyFont="1" applyBorder="1"/>
    <xf numFmtId="0" fontId="47" fillId="0" borderId="0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horizontal="right" vertical="center" wrapText="1"/>
    </xf>
    <xf numFmtId="166" fontId="47" fillId="0" borderId="0" xfId="29" applyNumberFormat="1" applyFont="1" applyFill="1" applyBorder="1" applyAlignment="1">
      <alignment horizontal="right" vertical="center" wrapText="1"/>
    </xf>
    <xf numFmtId="0" fontId="46" fillId="0" borderId="0" xfId="2" applyFont="1" applyFill="1" applyBorder="1" applyAlignment="1">
      <alignment horizontal="left" vertical="center" wrapText="1"/>
    </xf>
    <xf numFmtId="0" fontId="47" fillId="0" borderId="0" xfId="2" applyFont="1" applyFill="1" applyBorder="1" applyAlignment="1">
      <alignment horizontal="left" vertical="center"/>
    </xf>
    <xf numFmtId="0" fontId="39" fillId="0" borderId="0" xfId="2" applyFont="1" applyFill="1" applyBorder="1" applyAlignment="1">
      <alignment horizontal="center" vertical="center" wrapText="1"/>
    </xf>
    <xf numFmtId="0" fontId="39" fillId="0" borderId="0" xfId="2" applyFont="1" applyFill="1" applyBorder="1" applyAlignment="1">
      <alignment vertical="center"/>
    </xf>
    <xf numFmtId="2" fontId="38" fillId="0" borderId="0" xfId="28" applyNumberFormat="1" applyFont="1" applyFill="1" applyBorder="1" applyAlignment="1">
      <alignment vertical="center"/>
    </xf>
    <xf numFmtId="2" fontId="13" fillId="0" borderId="0" xfId="2" applyNumberFormat="1" applyFont="1" applyFill="1" applyBorder="1"/>
    <xf numFmtId="43" fontId="38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horizontal="left"/>
    </xf>
    <xf numFmtId="43" fontId="13" fillId="0" borderId="0" xfId="2" applyNumberFormat="1" applyFont="1" applyFill="1" applyBorder="1"/>
    <xf numFmtId="0" fontId="47" fillId="0" borderId="1" xfId="2" applyFont="1" applyFill="1" applyBorder="1" applyAlignment="1">
      <alignment horizontal="left" vertical="center" wrapText="1"/>
    </xf>
    <xf numFmtId="0" fontId="47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/>
    <xf numFmtId="166" fontId="47" fillId="0" borderId="1" xfId="29" applyNumberFormat="1" applyFont="1" applyFill="1" applyBorder="1" applyAlignment="1">
      <alignment horizontal="right" vertical="center" wrapText="1"/>
    </xf>
    <xf numFmtId="168" fontId="13" fillId="0" borderId="1" xfId="25" applyNumberFormat="1" applyFont="1" applyFill="1" applyBorder="1"/>
    <xf numFmtId="0" fontId="39" fillId="0" borderId="1" xfId="2" applyFont="1" applyFill="1" applyBorder="1" applyAlignment="1">
      <alignment horizontal="center" vertical="center" wrapText="1"/>
    </xf>
    <xf numFmtId="0" fontId="39" fillId="0" borderId="1" xfId="2" applyFont="1" applyFill="1" applyBorder="1" applyAlignment="1">
      <alignment vertical="center"/>
    </xf>
    <xf numFmtId="2" fontId="38" fillId="0" borderId="1" xfId="28" applyNumberFormat="1" applyFont="1" applyFill="1" applyBorder="1" applyAlignment="1">
      <alignment vertical="center"/>
    </xf>
    <xf numFmtId="2" fontId="13" fillId="0" borderId="1" xfId="2" applyNumberFormat="1" applyFont="1" applyFill="1" applyBorder="1"/>
    <xf numFmtId="43" fontId="38" fillId="0" borderId="1" xfId="2" applyNumberFormat="1" applyFont="1" applyFill="1" applyBorder="1" applyAlignment="1">
      <alignment vertical="center"/>
    </xf>
    <xf numFmtId="0" fontId="40" fillId="0" borderId="1" xfId="2" applyFont="1" applyFill="1" applyBorder="1"/>
    <xf numFmtId="0" fontId="39" fillId="0" borderId="1" xfId="2" applyFont="1" applyFill="1" applyBorder="1" applyAlignment="1">
      <alignment horizontal="center" vertical="center"/>
    </xf>
    <xf numFmtId="0" fontId="43" fillId="0" borderId="0" xfId="0" applyFont="1" applyAlignment="1">
      <alignment horizontal="justify" vertical="center"/>
    </xf>
    <xf numFmtId="0" fontId="40" fillId="0" borderId="3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2" xfId="0" applyFont="1" applyFill="1" applyBorder="1" applyAlignment="1">
      <alignment vertical="center" wrapText="1"/>
    </xf>
    <xf numFmtId="0" fontId="39" fillId="0" borderId="22" xfId="0" applyFont="1" applyFill="1" applyBorder="1" applyAlignment="1">
      <alignment horizontal="center" vertical="center" wrapText="1"/>
    </xf>
    <xf numFmtId="2" fontId="39" fillId="0" borderId="22" xfId="0" applyNumberFormat="1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vertical="center" wrapText="1"/>
    </xf>
    <xf numFmtId="2" fontId="38" fillId="0" borderId="22" xfId="0" applyNumberFormat="1" applyFont="1" applyFill="1" applyBorder="1" applyAlignment="1">
      <alignment horizontal="center" vertical="center" wrapText="1"/>
    </xf>
    <xf numFmtId="2" fontId="39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2" borderId="3" xfId="0" applyFont="1" applyFill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40" fillId="0" borderId="27" xfId="0" applyFont="1" applyBorder="1" applyAlignment="1">
      <alignment vertical="center"/>
    </xf>
    <xf numFmtId="0" fontId="40" fillId="0" borderId="27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40" fillId="0" borderId="27" xfId="0" applyFont="1" applyBorder="1" applyAlignment="1">
      <alignment horizontal="left" vertical="center"/>
    </xf>
    <xf numFmtId="0" fontId="40" fillId="0" borderId="27" xfId="0" applyFont="1" applyBorder="1" applyAlignment="1">
      <alignment horizontal="center" vertical="center"/>
    </xf>
    <xf numFmtId="2" fontId="13" fillId="0" borderId="1" xfId="0" applyNumberFormat="1" applyFont="1" applyBorder="1"/>
    <xf numFmtId="0" fontId="39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165" fontId="39" fillId="0" borderId="0" xfId="0" applyNumberFormat="1" applyFont="1" applyFill="1" applyAlignment="1">
      <alignment horizontal="center" vertical="center"/>
    </xf>
    <xf numFmtId="165" fontId="39" fillId="0" borderId="0" xfId="0" applyNumberFormat="1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3" fillId="0" borderId="0" xfId="51" applyFont="1"/>
    <xf numFmtId="0" fontId="13" fillId="0" borderId="0" xfId="54" applyFont="1"/>
    <xf numFmtId="0" fontId="40" fillId="0" borderId="3" xfId="54" applyFont="1" applyBorder="1"/>
    <xf numFmtId="0" fontId="13" fillId="0" borderId="3" xfId="51" applyFont="1" applyBorder="1"/>
    <xf numFmtId="0" fontId="40" fillId="0" borderId="0" xfId="51" applyFont="1"/>
    <xf numFmtId="165" fontId="13" fillId="0" borderId="0" xfId="51" applyNumberFormat="1" applyFont="1"/>
    <xf numFmtId="0" fontId="13" fillId="0" borderId="0" xfId="51" applyFont="1" applyAlignment="1">
      <alignment horizontal="left" indent="1"/>
    </xf>
    <xf numFmtId="0" fontId="13" fillId="0" borderId="7" xfId="51" applyFont="1" applyBorder="1"/>
    <xf numFmtId="165" fontId="13" fillId="0" borderId="5" xfId="51" applyNumberFormat="1" applyFont="1" applyBorder="1"/>
    <xf numFmtId="165" fontId="13" fillId="0" borderId="16" xfId="51" applyNumberFormat="1" applyFont="1" applyBorder="1"/>
    <xf numFmtId="0" fontId="40" fillId="0" borderId="0" xfId="51" applyFont="1" applyAlignment="1">
      <alignment horizontal="left" indent="1"/>
    </xf>
    <xf numFmtId="0" fontId="40" fillId="0" borderId="0" xfId="0" applyFont="1" applyBorder="1" applyAlignment="1">
      <alignment wrapText="1"/>
    </xf>
    <xf numFmtId="0" fontId="61" fillId="8" borderId="31" xfId="0" applyFont="1" applyFill="1" applyBorder="1" applyAlignment="1">
      <alignment horizontal="center" vertical="center"/>
    </xf>
    <xf numFmtId="0" fontId="61" fillId="9" borderId="32" xfId="0" applyFont="1" applyFill="1" applyBorder="1" applyAlignment="1">
      <alignment horizontal="center" vertical="center"/>
    </xf>
    <xf numFmtId="0" fontId="47" fillId="0" borderId="0" xfId="69" applyNumberFormat="1" applyFont="1" applyFill="1" applyBorder="1" applyAlignment="1" applyProtection="1"/>
    <xf numFmtId="176" fontId="47" fillId="0" borderId="0" xfId="8" applyNumberFormat="1" applyFont="1" applyFill="1" applyBorder="1" applyAlignment="1" applyProtection="1"/>
    <xf numFmtId="0" fontId="46" fillId="0" borderId="0" xfId="69" applyNumberFormat="1" applyFont="1" applyFill="1" applyBorder="1" applyAlignment="1" applyProtection="1"/>
    <xf numFmtId="168" fontId="47" fillId="0" borderId="0" xfId="12" applyNumberFormat="1" applyFont="1" applyFill="1" applyBorder="1" applyAlignment="1" applyProtection="1"/>
    <xf numFmtId="165" fontId="47" fillId="0" borderId="0" xfId="69" applyNumberFormat="1" applyFont="1" applyFill="1" applyBorder="1" applyAlignment="1" applyProtection="1"/>
    <xf numFmtId="0" fontId="47" fillId="0" borderId="0" xfId="69" applyNumberFormat="1" applyFont="1" applyFill="1" applyBorder="1" applyAlignment="1" applyProtection="1">
      <alignment horizontal="center"/>
    </xf>
    <xf numFmtId="0" fontId="46" fillId="14" borderId="42" xfId="69" applyFont="1" applyFill="1" applyBorder="1" applyAlignment="1">
      <alignment horizontal="center" vertical="center"/>
    </xf>
    <xf numFmtId="0" fontId="46" fillId="14" borderId="42" xfId="70" applyFont="1" applyFill="1" applyBorder="1" applyAlignment="1">
      <alignment horizontal="center" vertical="center"/>
    </xf>
    <xf numFmtId="0" fontId="50" fillId="14" borderId="42" xfId="70" applyFont="1" applyFill="1" applyBorder="1" applyAlignment="1">
      <alignment horizontal="center" vertical="center"/>
    </xf>
    <xf numFmtId="0" fontId="46" fillId="14" borderId="43" xfId="69" applyFont="1" applyFill="1" applyBorder="1" applyAlignment="1">
      <alignment horizontal="center" vertical="center"/>
    </xf>
    <xf numFmtId="0" fontId="46" fillId="14" borderId="43" xfId="70" applyFont="1" applyFill="1" applyBorder="1" applyAlignment="1">
      <alignment horizontal="center" vertical="center"/>
    </xf>
    <xf numFmtId="4" fontId="50" fillId="14" borderId="44" xfId="5" applyNumberFormat="1" applyFont="1" applyFill="1" applyBorder="1" applyAlignment="1" applyProtection="1">
      <alignment horizontal="right" vertical="center"/>
      <protection locked="0"/>
    </xf>
    <xf numFmtId="4" fontId="46" fillId="13" borderId="42" xfId="69" applyNumberFormat="1" applyFont="1" applyFill="1" applyBorder="1" applyAlignment="1" applyProtection="1"/>
    <xf numFmtId="4" fontId="47" fillId="0" borderId="0" xfId="69" applyNumberFormat="1" applyFont="1" applyFill="1" applyBorder="1" applyAlignment="1" applyProtection="1"/>
    <xf numFmtId="4" fontId="42" fillId="0" borderId="42" xfId="69" applyNumberFormat="1" applyFont="1" applyFill="1" applyBorder="1" applyAlignment="1" applyProtection="1"/>
    <xf numFmtId="4" fontId="47" fillId="0" borderId="42" xfId="69" applyNumberFormat="1" applyFont="1" applyFill="1" applyBorder="1" applyAlignment="1" applyProtection="1"/>
    <xf numFmtId="0" fontId="47" fillId="0" borderId="0" xfId="69" applyFont="1" applyFill="1"/>
    <xf numFmtId="1" fontId="48" fillId="0" borderId="0" xfId="69" applyNumberFormat="1" applyFont="1" applyFill="1"/>
    <xf numFmtId="4" fontId="42" fillId="0" borderId="42" xfId="69" applyNumberFormat="1" applyFont="1" applyFill="1" applyBorder="1"/>
    <xf numFmtId="4" fontId="47" fillId="0" borderId="42" xfId="69" applyNumberFormat="1" applyFont="1" applyFill="1" applyBorder="1"/>
    <xf numFmtId="0" fontId="46" fillId="0" borderId="0" xfId="69" applyFont="1" applyFill="1"/>
    <xf numFmtId="4" fontId="50" fillId="14" borderId="20" xfId="5" applyNumberFormat="1" applyFont="1" applyFill="1" applyBorder="1" applyAlignment="1" applyProtection="1">
      <alignment horizontal="right" vertical="center"/>
      <protection locked="0"/>
    </xf>
    <xf numFmtId="4" fontId="50" fillId="13" borderId="42" xfId="69" applyNumberFormat="1" applyFont="1" applyFill="1" applyBorder="1" applyAlignment="1" applyProtection="1"/>
    <xf numFmtId="4" fontId="50" fillId="14" borderId="44" xfId="5" applyNumberFormat="1" applyFont="1" applyFill="1" applyBorder="1" applyAlignment="1" applyProtection="1">
      <protection locked="0"/>
    </xf>
    <xf numFmtId="0" fontId="18" fillId="0" borderId="0" xfId="4"/>
    <xf numFmtId="0" fontId="42" fillId="0" borderId="1" xfId="22" applyNumberFormat="1" applyFont="1" applyFill="1" applyBorder="1" applyAlignment="1">
      <alignment horizontal="center"/>
    </xf>
    <xf numFmtId="165" fontId="42" fillId="0" borderId="0" xfId="22" applyNumberFormat="1" applyFont="1" applyFill="1" applyBorder="1" applyAlignment="1">
      <alignment horizontal="center"/>
    </xf>
    <xf numFmtId="166" fontId="42" fillId="0" borderId="0" xfId="22" applyNumberFormat="1" applyFont="1" applyFill="1" applyBorder="1" applyAlignment="1">
      <alignment horizontal="center"/>
    </xf>
    <xf numFmtId="0" fontId="42" fillId="0" borderId="0" xfId="22" applyFont="1" applyFill="1" applyBorder="1" applyAlignment="1">
      <alignment horizontal="center"/>
    </xf>
    <xf numFmtId="0" fontId="42" fillId="0" borderId="0" xfId="22" applyNumberFormat="1" applyFont="1" applyFill="1" applyBorder="1" applyAlignment="1">
      <alignment horizontal="center"/>
    </xf>
    <xf numFmtId="165" fontId="39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horizontal="center" vertical="center"/>
    </xf>
    <xf numFmtId="165" fontId="38" fillId="0" borderId="0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165" fontId="41" fillId="0" borderId="1" xfId="0" applyNumberFormat="1" applyFont="1" applyFill="1" applyBorder="1" applyAlignment="1">
      <alignment horizontal="center" vertical="center"/>
    </xf>
    <xf numFmtId="165" fontId="41" fillId="18" borderId="1" xfId="0" applyNumberFormat="1" applyFont="1" applyFill="1" applyBorder="1" applyAlignment="1">
      <alignment horizontal="center" vertical="center"/>
    </xf>
    <xf numFmtId="166" fontId="39" fillId="0" borderId="0" xfId="0" applyNumberFormat="1" applyFont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3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horizontal="center" vertical="center" wrapText="1"/>
    </xf>
    <xf numFmtId="2" fontId="39" fillId="0" borderId="3" xfId="0" applyNumberFormat="1" applyFont="1" applyFill="1" applyBorder="1" applyAlignment="1">
      <alignment horizontal="center"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2" fontId="39" fillId="0" borderId="45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 indent="1"/>
    </xf>
    <xf numFmtId="2" fontId="39" fillId="0" borderId="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 indent="1"/>
    </xf>
    <xf numFmtId="0" fontId="39" fillId="0" borderId="4" xfId="0" applyFont="1" applyBorder="1" applyAlignment="1">
      <alignment horizontal="left" vertical="center" wrapText="1" indent="1"/>
    </xf>
    <xf numFmtId="0" fontId="39" fillId="0" borderId="3" xfId="0" applyFont="1" applyBorder="1" applyAlignment="1">
      <alignment horizontal="left" vertical="center" wrapText="1" indent="1"/>
    </xf>
    <xf numFmtId="0" fontId="39" fillId="0" borderId="45" xfId="0" applyFont="1" applyBorder="1" applyAlignment="1">
      <alignment horizontal="left" indent="1"/>
    </xf>
    <xf numFmtId="0" fontId="38" fillId="0" borderId="5" xfId="0" applyFont="1" applyBorder="1" applyAlignment="1">
      <alignment vertical="center" wrapText="1"/>
    </xf>
    <xf numFmtId="2" fontId="38" fillId="0" borderId="5" xfId="0" applyNumberFormat="1" applyFont="1" applyBorder="1" applyAlignment="1">
      <alignment horizontal="center" vertical="center" wrapText="1"/>
    </xf>
    <xf numFmtId="2" fontId="39" fillId="0" borderId="22" xfId="0" applyNumberFormat="1" applyFont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2" fontId="39" fillId="0" borderId="3" xfId="0" applyNumberFormat="1" applyFont="1" applyBorder="1" applyAlignment="1">
      <alignment horizontal="center" vertical="center" wrapText="1"/>
    </xf>
    <xf numFmtId="0" fontId="62" fillId="0" borderId="0" xfId="0" applyFont="1"/>
    <xf numFmtId="0" fontId="13" fillId="0" borderId="5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39" fillId="0" borderId="5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2" fontId="39" fillId="0" borderId="4" xfId="0" applyNumberFormat="1" applyFont="1" applyBorder="1" applyAlignment="1">
      <alignment horizontal="center" vertical="center" wrapText="1"/>
    </xf>
    <xf numFmtId="0" fontId="47" fillId="0" borderId="5" xfId="0" applyFont="1" applyBorder="1"/>
    <xf numFmtId="0" fontId="13" fillId="0" borderId="45" xfId="0" applyFont="1" applyFill="1" applyBorder="1" applyAlignment="1">
      <alignment horizontal="left" vertical="center" wrapText="1" indent="1"/>
    </xf>
    <xf numFmtId="0" fontId="13" fillId="0" borderId="45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horizontal="center" vertical="center" wrapText="1"/>
    </xf>
    <xf numFmtId="2" fontId="39" fillId="0" borderId="5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vertical="center" wrapText="1"/>
    </xf>
    <xf numFmtId="2" fontId="42" fillId="0" borderId="0" xfId="30" applyNumberFormat="1" applyFont="1" applyFill="1" applyBorder="1"/>
    <xf numFmtId="2" fontId="13" fillId="0" borderId="0" xfId="0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36" xfId="2" applyFont="1" applyFill="1" applyBorder="1" applyAlignment="1">
      <alignment horizontal="center" vertical="center"/>
    </xf>
    <xf numFmtId="0" fontId="42" fillId="0" borderId="3" xfId="0" applyFont="1" applyBorder="1" applyAlignment="1">
      <alignment vertical="center"/>
    </xf>
    <xf numFmtId="0" fontId="50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vertical="center"/>
    </xf>
    <xf numFmtId="0" fontId="50" fillId="0" borderId="4" xfId="0" applyFont="1" applyBorder="1" applyAlignment="1">
      <alignment vertical="center"/>
    </xf>
    <xf numFmtId="0" fontId="50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0" fillId="0" borderId="5" xfId="0" applyFont="1" applyBorder="1" applyAlignment="1">
      <alignment vertical="center"/>
    </xf>
    <xf numFmtId="165" fontId="13" fillId="0" borderId="0" xfId="2" applyNumberFormat="1" applyFont="1" applyFill="1" applyAlignment="1">
      <alignment vertical="center"/>
    </xf>
    <xf numFmtId="165" fontId="13" fillId="0" borderId="1" xfId="2" applyNumberFormat="1" applyFont="1" applyFill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Fill="1" applyBorder="1" applyAlignment="1">
      <alignment horizontal="center" vertical="center"/>
    </xf>
    <xf numFmtId="165" fontId="47" fillId="0" borderId="0" xfId="29" applyNumberFormat="1" applyFont="1" applyFill="1" applyBorder="1" applyAlignment="1">
      <alignment horizontal="center" vertical="center" wrapText="1"/>
    </xf>
    <xf numFmtId="165" fontId="47" fillId="0" borderId="1" xfId="29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2" fontId="39" fillId="2" borderId="0" xfId="0" applyNumberFormat="1" applyFont="1" applyFill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50" fillId="0" borderId="0" xfId="0" applyFont="1" applyFill="1" applyBorder="1" applyAlignment="1">
      <alignment horizontal="right" indent="2"/>
    </xf>
    <xf numFmtId="0" fontId="42" fillId="0" borderId="0" xfId="0" applyFont="1" applyFill="1" applyBorder="1" applyAlignment="1">
      <alignment horizontal="right" indent="2"/>
    </xf>
    <xf numFmtId="0" fontId="50" fillId="0" borderId="0" xfId="0" applyFont="1" applyFill="1" applyBorder="1" applyAlignment="1">
      <alignment horizontal="left" indent="2"/>
    </xf>
    <xf numFmtId="0" fontId="42" fillId="0" borderId="0" xfId="0" applyFont="1" applyFill="1" applyBorder="1" applyAlignment="1">
      <alignment horizontal="left" indent="2"/>
    </xf>
    <xf numFmtId="165" fontId="39" fillId="0" borderId="9" xfId="0" applyNumberFormat="1" applyFont="1" applyBorder="1" applyAlignment="1">
      <alignment horizontal="center" vertical="center"/>
    </xf>
    <xf numFmtId="165" fontId="39" fillId="0" borderId="8" xfId="0" applyNumberFormat="1" applyFont="1" applyBorder="1" applyAlignment="1">
      <alignment horizontal="center" vertical="center"/>
    </xf>
    <xf numFmtId="165" fontId="39" fillId="0" borderId="6" xfId="0" applyNumberFormat="1" applyFont="1" applyBorder="1" applyAlignment="1">
      <alignment horizontal="center" vertical="center"/>
    </xf>
    <xf numFmtId="165" fontId="39" fillId="0" borderId="12" xfId="0" applyNumberFormat="1" applyFont="1" applyBorder="1" applyAlignment="1">
      <alignment horizontal="center" vertical="center"/>
    </xf>
    <xf numFmtId="165" fontId="42" fillId="0" borderId="0" xfId="22" applyNumberFormat="1" applyFont="1"/>
    <xf numFmtId="1" fontId="13" fillId="0" borderId="37" xfId="52" applyNumberFormat="1" applyFont="1" applyBorder="1" applyAlignment="1">
      <alignment horizontal="right"/>
    </xf>
    <xf numFmtId="1" fontId="42" fillId="0" borderId="0" xfId="22" applyNumberFormat="1" applyFont="1"/>
    <xf numFmtId="1" fontId="13" fillId="0" borderId="2" xfId="52" applyNumberFormat="1" applyFont="1" applyBorder="1" applyAlignment="1"/>
    <xf numFmtId="1" fontId="13" fillId="0" borderId="2" xfId="52" applyNumberFormat="1" applyFont="1" applyFill="1" applyBorder="1" applyAlignment="1"/>
    <xf numFmtId="1" fontId="13" fillId="0" borderId="0" xfId="52" applyNumberFormat="1" applyFont="1" applyFill="1" applyBorder="1" applyAlignment="1"/>
    <xf numFmtId="1" fontId="13" fillId="0" borderId="0" xfId="52" applyNumberFormat="1" applyFont="1" applyBorder="1" applyAlignment="1"/>
    <xf numFmtId="1" fontId="13" fillId="0" borderId="0" xfId="52" applyNumberFormat="1" applyFont="1" applyBorder="1"/>
    <xf numFmtId="1" fontId="42" fillId="0" borderId="0" xfId="59" applyNumberFormat="1" applyFont="1" applyFill="1" applyBorder="1" applyAlignment="1"/>
    <xf numFmtId="1" fontId="13" fillId="0" borderId="0" xfId="52" applyNumberFormat="1" applyFont="1" applyFill="1" applyBorder="1"/>
    <xf numFmtId="1" fontId="13" fillId="0" borderId="1" xfId="52" applyNumberFormat="1" applyFont="1" applyBorder="1"/>
    <xf numFmtId="1" fontId="13" fillId="0" borderId="1" xfId="52" applyNumberFormat="1" applyFont="1" applyFill="1" applyBorder="1"/>
    <xf numFmtId="1" fontId="13" fillId="0" borderId="37" xfId="0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165" fontId="13" fillId="0" borderId="37" xfId="0" applyNumberFormat="1" applyFont="1" applyFill="1" applyBorder="1" applyAlignment="1">
      <alignment horizontal="right"/>
    </xf>
    <xf numFmtId="165" fontId="13" fillId="0" borderId="0" xfId="52" applyNumberFormat="1" applyFont="1" applyBorder="1"/>
    <xf numFmtId="0" fontId="50" fillId="0" borderId="0" xfId="0" applyFont="1" applyAlignment="1">
      <alignment horizontal="center" vertical="center"/>
    </xf>
    <xf numFmtId="0" fontId="38" fillId="0" borderId="39" xfId="2" applyFont="1" applyFill="1" applyBorder="1" applyAlignment="1">
      <alignment vertical="center"/>
    </xf>
    <xf numFmtId="0" fontId="39" fillId="0" borderId="5" xfId="2" applyFont="1" applyFill="1" applyBorder="1" applyAlignment="1">
      <alignment horizontal="center" vertical="center"/>
    </xf>
    <xf numFmtId="165" fontId="39" fillId="0" borderId="4" xfId="2" applyNumberFormat="1" applyFont="1" applyFill="1" applyBorder="1" applyAlignment="1">
      <alignment horizontal="center" vertical="center"/>
    </xf>
    <xf numFmtId="165" fontId="39" fillId="0" borderId="3" xfId="2" applyNumberFormat="1" applyFont="1" applyFill="1" applyBorder="1" applyAlignment="1">
      <alignment horizontal="center" vertical="center"/>
    </xf>
    <xf numFmtId="0" fontId="38" fillId="0" borderId="46" xfId="2" applyFont="1" applyFill="1" applyBorder="1" applyAlignment="1">
      <alignment horizontal="center" vertical="center"/>
    </xf>
    <xf numFmtId="0" fontId="39" fillId="0" borderId="47" xfId="2" applyFont="1" applyFill="1" applyBorder="1" applyAlignment="1">
      <alignment horizontal="center" vertical="center"/>
    </xf>
    <xf numFmtId="165" fontId="39" fillId="0" borderId="42" xfId="2" applyNumberFormat="1" applyFont="1" applyFill="1" applyBorder="1" applyAlignment="1">
      <alignment horizontal="center" vertical="center"/>
    </xf>
    <xf numFmtId="165" fontId="39" fillId="0" borderId="47" xfId="2" applyNumberFormat="1" applyFont="1" applyFill="1" applyBorder="1" applyAlignment="1">
      <alignment horizontal="center" vertical="center"/>
    </xf>
    <xf numFmtId="165" fontId="39" fillId="0" borderId="48" xfId="2" applyNumberFormat="1" applyFont="1" applyFill="1" applyBorder="1" applyAlignment="1">
      <alignment horizontal="center" vertical="center"/>
    </xf>
    <xf numFmtId="0" fontId="38" fillId="0" borderId="39" xfId="2" applyFont="1" applyFill="1" applyBorder="1" applyAlignment="1">
      <alignment horizontal="center" vertical="center"/>
    </xf>
    <xf numFmtId="165" fontId="38" fillId="0" borderId="1" xfId="2" applyNumberFormat="1" applyFont="1" applyFill="1" applyBorder="1" applyAlignment="1">
      <alignment horizontal="center" vertical="center"/>
    </xf>
    <xf numFmtId="0" fontId="60" fillId="0" borderId="1" xfId="2" applyFont="1" applyBorder="1" applyAlignment="1">
      <alignment vertical="center"/>
    </xf>
    <xf numFmtId="166" fontId="42" fillId="0" borderId="1" xfId="0" applyNumberFormat="1" applyFont="1" applyFill="1" applyBorder="1" applyAlignment="1"/>
    <xf numFmtId="0" fontId="37" fillId="0" borderId="3" xfId="0" applyFont="1" applyBorder="1" applyAlignment="1">
      <alignment vertical="center"/>
    </xf>
    <xf numFmtId="0" fontId="38" fillId="0" borderId="7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3" fillId="0" borderId="0" xfId="0" applyFont="1" applyBorder="1" applyAlignment="1">
      <alignment horizontal="left"/>
    </xf>
    <xf numFmtId="0" fontId="38" fillId="0" borderId="0" xfId="2" applyFont="1" applyFill="1" applyBorder="1" applyAlignment="1">
      <alignment horizontal="center" vertical="center" wrapText="1"/>
    </xf>
    <xf numFmtId="0" fontId="42" fillId="0" borderId="0" xfId="65" applyFont="1" applyBorder="1"/>
    <xf numFmtId="3" fontId="42" fillId="0" borderId="0" xfId="0" applyNumberFormat="1" applyFont="1" applyBorder="1"/>
    <xf numFmtId="0" fontId="42" fillId="0" borderId="0" xfId="0" applyFont="1" applyBorder="1"/>
    <xf numFmtId="3" fontId="50" fillId="0" borderId="0" xfId="0" applyNumberFormat="1" applyFont="1" applyBorder="1"/>
    <xf numFmtId="0" fontId="50" fillId="0" borderId="0" xfId="0" applyFont="1"/>
    <xf numFmtId="3" fontId="13" fillId="0" borderId="0" xfId="0" applyNumberFormat="1" applyFont="1" applyBorder="1"/>
    <xf numFmtId="3" fontId="13" fillId="0" borderId="0" xfId="0" applyNumberFormat="1" applyFont="1"/>
    <xf numFmtId="3" fontId="40" fillId="0" borderId="0" xfId="0" applyNumberFormat="1" applyFont="1" applyBorder="1"/>
    <xf numFmtId="4" fontId="13" fillId="0" borderId="0" xfId="0" applyNumberFormat="1" applyFont="1"/>
    <xf numFmtId="1" fontId="47" fillId="0" borderId="41" xfId="69" applyNumberFormat="1" applyFont="1" applyFill="1" applyBorder="1" applyAlignment="1" applyProtection="1">
      <alignment horizontal="center"/>
    </xf>
    <xf numFmtId="174" fontId="47" fillId="0" borderId="0" xfId="69" applyNumberFormat="1" applyFont="1" applyFill="1" applyBorder="1" applyAlignment="1" applyProtection="1"/>
    <xf numFmtId="172" fontId="47" fillId="0" borderId="0" xfId="69" applyNumberFormat="1" applyFont="1" applyFill="1" applyBorder="1" applyAlignment="1" applyProtection="1"/>
    <xf numFmtId="0" fontId="40" fillId="0" borderId="1" xfId="0" applyFont="1" applyBorder="1" applyAlignment="1">
      <alignment horizontal="right"/>
    </xf>
    <xf numFmtId="0" fontId="68" fillId="0" borderId="0" xfId="9" applyFont="1" applyFill="1" applyBorder="1"/>
    <xf numFmtId="166" fontId="68" fillId="0" borderId="0" xfId="9" applyNumberFormat="1" applyFont="1" applyFill="1" applyBorder="1"/>
    <xf numFmtId="0" fontId="69" fillId="0" borderId="0" xfId="9" applyFont="1" applyFill="1" applyBorder="1"/>
    <xf numFmtId="1" fontId="69" fillId="0" borderId="0" xfId="9" applyNumberFormat="1" applyFont="1" applyFill="1" applyBorder="1"/>
    <xf numFmtId="0" fontId="68" fillId="0" borderId="39" xfId="9" applyFont="1" applyFill="1" applyBorder="1"/>
    <xf numFmtId="3" fontId="68" fillId="0" borderId="39" xfId="9" applyNumberFormat="1" applyFont="1" applyFill="1" applyBorder="1"/>
    <xf numFmtId="0" fontId="70" fillId="0" borderId="0" xfId="0" applyFont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indent="1"/>
    </xf>
    <xf numFmtId="0" fontId="70" fillId="0" borderId="0" xfId="0" applyFont="1"/>
    <xf numFmtId="0" fontId="38" fillId="0" borderId="3" xfId="0" applyFont="1" applyBorder="1" applyAlignment="1">
      <alignment vertical="center"/>
    </xf>
    <xf numFmtId="0" fontId="70" fillId="0" borderId="3" xfId="0" applyFont="1" applyBorder="1"/>
    <xf numFmtId="0" fontId="39" fillId="0" borderId="0" xfId="0" applyFont="1"/>
    <xf numFmtId="0" fontId="44" fillId="0" borderId="0" xfId="0" applyFont="1" applyAlignment="1">
      <alignment vertical="center"/>
    </xf>
    <xf numFmtId="0" fontId="44" fillId="0" borderId="0" xfId="0" applyFont="1"/>
    <xf numFmtId="3" fontId="39" fillId="0" borderId="0" xfId="0" applyNumberFormat="1" applyFont="1" applyAlignment="1">
      <alignment horizontal="right" vertical="center"/>
    </xf>
    <xf numFmtId="3" fontId="38" fillId="0" borderId="3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8" fillId="0" borderId="4" xfId="0" applyNumberFormat="1" applyFont="1" applyBorder="1" applyAlignment="1">
      <alignment horizontal="right" vertical="center"/>
    </xf>
    <xf numFmtId="165" fontId="39" fillId="0" borderId="3" xfId="0" applyNumberFormat="1" applyFont="1" applyBorder="1" applyAlignment="1">
      <alignment horizontal="right" vertical="center" wrapText="1"/>
    </xf>
    <xf numFmtId="165" fontId="64" fillId="19" borderId="3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justify" vertical="center"/>
    </xf>
    <xf numFmtId="0" fontId="66" fillId="0" borderId="0" xfId="0" applyFont="1" applyFill="1" applyAlignment="1">
      <alignment horizontal="right" vertical="center" wrapText="1"/>
    </xf>
    <xf numFmtId="0" fontId="64" fillId="0" borderId="0" xfId="0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right" vertical="center" wrapText="1"/>
    </xf>
    <xf numFmtId="0" fontId="13" fillId="0" borderId="37" xfId="0" applyFont="1" applyBorder="1"/>
    <xf numFmtId="0" fontId="13" fillId="0" borderId="37" xfId="0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/>
    </xf>
    <xf numFmtId="14" fontId="13" fillId="0" borderId="1" xfId="0" applyNumberFormat="1" applyFont="1" applyBorder="1"/>
    <xf numFmtId="0" fontId="13" fillId="0" borderId="3" xfId="0" applyFont="1" applyBorder="1" applyAlignment="1">
      <alignment vertical="center" wrapText="1"/>
    </xf>
    <xf numFmtId="0" fontId="40" fillId="0" borderId="3" xfId="0" applyFont="1" applyBorder="1" applyAlignment="1">
      <alignment horizontal="right" vertical="center" wrapText="1"/>
    </xf>
    <xf numFmtId="0" fontId="40" fillId="0" borderId="3" xfId="0" applyFont="1" applyBorder="1" applyAlignment="1">
      <alignment vertical="center" wrapText="1"/>
    </xf>
    <xf numFmtId="3" fontId="40" fillId="0" borderId="3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right" vertical="center" wrapText="1"/>
    </xf>
    <xf numFmtId="3" fontId="40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left" vertical="center" wrapText="1" indent="2"/>
    </xf>
    <xf numFmtId="0" fontId="13" fillId="0" borderId="3" xfId="0" applyFont="1" applyBorder="1" applyAlignment="1">
      <alignment horizontal="left" vertical="center" wrapText="1" indent="1"/>
    </xf>
    <xf numFmtId="0" fontId="40" fillId="0" borderId="4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horizontal="right" vertical="center" wrapText="1"/>
    </xf>
    <xf numFmtId="0" fontId="44" fillId="0" borderId="23" xfId="0" applyFont="1" applyBorder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38" fillId="0" borderId="21" xfId="0" applyFont="1" applyBorder="1" applyAlignment="1">
      <alignment horizontal="center" vertical="center" wrapText="1"/>
    </xf>
    <xf numFmtId="165" fontId="39" fillId="0" borderId="22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13" fillId="0" borderId="0" xfId="73" applyFont="1"/>
    <xf numFmtId="0" fontId="13" fillId="0" borderId="0" xfId="73" applyNumberFormat="1" applyFont="1" applyAlignment="1">
      <alignment wrapText="1"/>
    </xf>
    <xf numFmtId="0" fontId="53" fillId="0" borderId="0" xfId="73" applyFont="1"/>
    <xf numFmtId="0" fontId="13" fillId="0" borderId="0" xfId="73" applyFont="1" applyFill="1" applyBorder="1"/>
    <xf numFmtId="0" fontId="13" fillId="0" borderId="17" xfId="73" applyNumberFormat="1" applyFont="1" applyFill="1" applyBorder="1" applyAlignment="1">
      <alignment horizontal="center" wrapText="1"/>
    </xf>
    <xf numFmtId="0" fontId="13" fillId="0" borderId="42" xfId="73" applyNumberFormat="1" applyFont="1" applyFill="1" applyBorder="1" applyAlignment="1">
      <alignment horizontal="center" wrapText="1"/>
    </xf>
    <xf numFmtId="0" fontId="13" fillId="0" borderId="34" xfId="73" applyNumberFormat="1" applyFont="1" applyFill="1" applyBorder="1" applyAlignment="1">
      <alignment horizontal="center" wrapText="1"/>
    </xf>
    <xf numFmtId="0" fontId="13" fillId="0" borderId="0" xfId="73" applyNumberFormat="1" applyFont="1" applyFill="1" applyBorder="1" applyAlignment="1">
      <alignment horizontal="center" wrapText="1"/>
    </xf>
    <xf numFmtId="0" fontId="13" fillId="0" borderId="34" xfId="73" applyNumberFormat="1" applyFont="1" applyFill="1" applyBorder="1" applyAlignment="1">
      <alignment wrapText="1"/>
    </xf>
    <xf numFmtId="0" fontId="13" fillId="0" borderId="0" xfId="73" applyFont="1" applyFill="1"/>
    <xf numFmtId="0" fontId="13" fillId="0" borderId="1" xfId="73" applyFont="1" applyFill="1" applyBorder="1"/>
    <xf numFmtId="0" fontId="13" fillId="0" borderId="19" xfId="73" applyNumberFormat="1" applyFont="1" applyFill="1" applyBorder="1" applyAlignment="1">
      <alignment horizontal="center" wrapText="1"/>
    </xf>
    <xf numFmtId="0" fontId="13" fillId="0" borderId="1" xfId="73" applyNumberFormat="1" applyFont="1" applyFill="1" applyBorder="1" applyAlignment="1">
      <alignment horizontal="center" wrapText="1"/>
    </xf>
    <xf numFmtId="0" fontId="13" fillId="0" borderId="18" xfId="73" applyNumberFormat="1" applyFont="1" applyFill="1" applyBorder="1" applyAlignment="1">
      <alignment horizontal="center" wrapText="1"/>
    </xf>
    <xf numFmtId="0" fontId="13" fillId="0" borderId="43" xfId="73" applyNumberFormat="1" applyFont="1" applyFill="1" applyBorder="1" applyAlignment="1">
      <alignment horizontal="center" wrapText="1"/>
    </xf>
    <xf numFmtId="0" fontId="13" fillId="0" borderId="19" xfId="73" applyNumberFormat="1" applyFont="1" applyFill="1" applyBorder="1" applyAlignment="1">
      <alignment wrapText="1"/>
    </xf>
    <xf numFmtId="165" fontId="13" fillId="0" borderId="34" xfId="73" applyNumberFormat="1" applyFont="1" applyFill="1" applyBorder="1" applyAlignment="1">
      <alignment horizontal="center" wrapText="1"/>
    </xf>
    <xf numFmtId="165" fontId="13" fillId="0" borderId="0" xfId="73" applyNumberFormat="1" applyFont="1" applyFill="1" applyBorder="1" applyAlignment="1">
      <alignment horizontal="center" wrapText="1"/>
    </xf>
    <xf numFmtId="2" fontId="13" fillId="0" borderId="17" xfId="73" applyNumberFormat="1" applyFont="1" applyFill="1" applyBorder="1" applyAlignment="1">
      <alignment horizontal="center" wrapText="1"/>
    </xf>
    <xf numFmtId="165" fontId="13" fillId="0" borderId="42" xfId="73" applyNumberFormat="1" applyFont="1" applyFill="1" applyBorder="1" applyAlignment="1">
      <alignment horizontal="center" wrapText="1"/>
    </xf>
    <xf numFmtId="165" fontId="13" fillId="0" borderId="17" xfId="73" applyNumberFormat="1" applyFont="1" applyFill="1" applyBorder="1" applyAlignment="1">
      <alignment horizontal="center" wrapText="1"/>
    </xf>
    <xf numFmtId="165" fontId="13" fillId="0" borderId="0" xfId="73" applyNumberFormat="1" applyFont="1" applyFill="1" applyAlignment="1">
      <alignment horizontal="center" wrapText="1"/>
    </xf>
    <xf numFmtId="0" fontId="13" fillId="0" borderId="34" xfId="73" applyFont="1" applyFill="1" applyBorder="1"/>
    <xf numFmtId="165" fontId="13" fillId="0" borderId="0" xfId="73" applyNumberFormat="1" applyFont="1" applyFill="1"/>
    <xf numFmtId="2" fontId="13" fillId="0" borderId="0" xfId="73" applyNumberFormat="1" applyFont="1" applyFill="1" applyAlignment="1">
      <alignment horizontal="center" wrapText="1"/>
    </xf>
    <xf numFmtId="2" fontId="13" fillId="0" borderId="42" xfId="73" applyNumberFormat="1" applyFont="1" applyFill="1" applyBorder="1" applyAlignment="1">
      <alignment horizontal="center" wrapText="1"/>
    </xf>
    <xf numFmtId="0" fontId="13" fillId="0" borderId="34" xfId="73" applyNumberFormat="1" applyFont="1" applyBorder="1" applyAlignment="1">
      <alignment wrapText="1"/>
    </xf>
    <xf numFmtId="176" fontId="13" fillId="0" borderId="0" xfId="74" applyNumberFormat="1" applyFont="1" applyAlignment="1">
      <alignment wrapText="1"/>
    </xf>
    <xf numFmtId="20" fontId="13" fillId="0" borderId="0" xfId="73" applyNumberFormat="1" applyFont="1" applyAlignment="1">
      <alignment wrapText="1"/>
    </xf>
    <xf numFmtId="0" fontId="71" fillId="0" borderId="13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165" fontId="38" fillId="0" borderId="12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/>
    </xf>
    <xf numFmtId="0" fontId="39" fillId="0" borderId="9" xfId="0" applyFont="1" applyBorder="1" applyAlignment="1">
      <alignment horizontal="center" vertical="center"/>
    </xf>
    <xf numFmtId="165" fontId="38" fillId="0" borderId="5" xfId="0" applyNumberFormat="1" applyFont="1" applyBorder="1" applyAlignment="1">
      <alignment horizontal="center" vertical="center"/>
    </xf>
    <xf numFmtId="165" fontId="38" fillId="0" borderId="16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0" fontId="39" fillId="0" borderId="28" xfId="0" applyFont="1" applyBorder="1" applyAlignment="1">
      <alignment horizontal="center" vertical="center"/>
    </xf>
    <xf numFmtId="165" fontId="39" fillId="0" borderId="4" xfId="0" applyNumberFormat="1" applyFont="1" applyBorder="1" applyAlignment="1">
      <alignment horizontal="center" vertical="center"/>
    </xf>
    <xf numFmtId="165" fontId="39" fillId="0" borderId="33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2" fillId="0" borderId="4" xfId="0" applyFont="1" applyBorder="1" applyAlignment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62" fillId="0" borderId="0" xfId="0" applyFont="1" applyAlignment="1">
      <alignment horizontal="center"/>
    </xf>
    <xf numFmtId="166" fontId="62" fillId="0" borderId="0" xfId="0" applyNumberFormat="1" applyFont="1" applyAlignment="1">
      <alignment horizontal="center"/>
    </xf>
    <xf numFmtId="165" fontId="62" fillId="0" borderId="0" xfId="0" applyNumberFormat="1" applyFont="1" applyAlignment="1">
      <alignment horizontal="center"/>
    </xf>
    <xf numFmtId="165" fontId="62" fillId="0" borderId="0" xfId="0" applyNumberFormat="1" applyFont="1" applyFill="1" applyAlignment="1">
      <alignment horizontal="center"/>
    </xf>
    <xf numFmtId="0" fontId="67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40" xfId="52" applyFont="1" applyBorder="1"/>
    <xf numFmtId="0" fontId="13" fillId="0" borderId="4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0" fontId="13" fillId="0" borderId="37" xfId="52" applyNumberFormat="1" applyFont="1" applyBorder="1"/>
    <xf numFmtId="165" fontId="13" fillId="0" borderId="37" xfId="0" applyNumberFormat="1" applyFont="1" applyBorder="1" applyAlignment="1">
      <alignment horizontal="center"/>
    </xf>
    <xf numFmtId="10" fontId="13" fillId="0" borderId="1" xfId="52" applyNumberFormat="1" applyFont="1" applyBorder="1"/>
    <xf numFmtId="165" fontId="40" fillId="0" borderId="0" xfId="0" applyNumberFormat="1" applyFont="1"/>
    <xf numFmtId="165" fontId="66" fillId="20" borderId="3" xfId="0" applyNumberFormat="1" applyFont="1" applyFill="1" applyBorder="1" applyAlignment="1">
      <alignment horizontal="right" vertical="center" wrapText="1"/>
    </xf>
    <xf numFmtId="165" fontId="63" fillId="20" borderId="3" xfId="0" applyNumberFormat="1" applyFont="1" applyFill="1" applyBorder="1" applyAlignment="1">
      <alignment horizontal="right" vertical="center" wrapText="1"/>
    </xf>
    <xf numFmtId="165" fontId="65" fillId="21" borderId="4" xfId="0" applyNumberFormat="1" applyFont="1" applyFill="1" applyBorder="1" applyAlignment="1">
      <alignment horizontal="right" vertical="center" wrapText="1"/>
    </xf>
    <xf numFmtId="165" fontId="66" fillId="20" borderId="4" xfId="0" applyNumberFormat="1" applyFont="1" applyFill="1" applyBorder="1" applyAlignment="1">
      <alignment horizontal="right" vertical="center" wrapText="1"/>
    </xf>
    <xf numFmtId="165" fontId="64" fillId="19" borderId="4" xfId="0" applyNumberFormat="1" applyFont="1" applyFill="1" applyBorder="1" applyAlignment="1">
      <alignment horizontal="right" vertical="center" wrapText="1"/>
    </xf>
    <xf numFmtId="0" fontId="38" fillId="0" borderId="3" xfId="0" applyFont="1" applyBorder="1" applyAlignment="1">
      <alignment vertical="center" wrapText="1"/>
    </xf>
    <xf numFmtId="165" fontId="13" fillId="0" borderId="3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horizontal="right" vertical="center" wrapText="1"/>
    </xf>
    <xf numFmtId="165" fontId="41" fillId="0" borderId="0" xfId="0" applyNumberFormat="1" applyFont="1" applyAlignment="1">
      <alignment horizontal="right" vertical="center"/>
    </xf>
    <xf numFmtId="165" fontId="40" fillId="0" borderId="3" xfId="0" applyNumberFormat="1" applyFont="1" applyFill="1" applyBorder="1" applyAlignment="1">
      <alignment horizontal="right" vertical="center" wrapText="1"/>
    </xf>
    <xf numFmtId="165" fontId="41" fillId="0" borderId="3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vertical="center" wrapText="1"/>
    </xf>
    <xf numFmtId="165" fontId="13" fillId="0" borderId="3" xfId="0" applyNumberFormat="1" applyFont="1" applyBorder="1" applyAlignment="1">
      <alignment horizontal="right" vertical="center" wrapText="1"/>
    </xf>
    <xf numFmtId="165" fontId="38" fillId="0" borderId="0" xfId="0" applyNumberFormat="1" applyFont="1" applyAlignment="1">
      <alignment horizontal="right" vertical="center"/>
    </xf>
    <xf numFmtId="165" fontId="39" fillId="0" borderId="0" xfId="0" applyNumberFormat="1" applyFont="1" applyAlignment="1">
      <alignment horizontal="right" vertical="center"/>
    </xf>
    <xf numFmtId="1" fontId="39" fillId="0" borderId="0" xfId="0" applyNumberFormat="1" applyFont="1" applyAlignment="1">
      <alignment horizontal="right" vertical="center"/>
    </xf>
    <xf numFmtId="0" fontId="40" fillId="0" borderId="3" xfId="0" applyFont="1" applyFill="1" applyBorder="1"/>
    <xf numFmtId="0" fontId="13" fillId="0" borderId="3" xfId="0" applyFont="1" applyFill="1" applyBorder="1"/>
    <xf numFmtId="0" fontId="53" fillId="0" borderId="3" xfId="0" applyFont="1" applyBorder="1"/>
    <xf numFmtId="0" fontId="40" fillId="0" borderId="5" xfId="0" applyFont="1" applyFill="1" applyBorder="1"/>
    <xf numFmtId="0" fontId="13" fillId="0" borderId="5" xfId="0" applyFont="1" applyFill="1" applyBorder="1"/>
    <xf numFmtId="0" fontId="38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horizontal="right" vertical="center"/>
    </xf>
    <xf numFmtId="0" fontId="38" fillId="0" borderId="3" xfId="0" applyFont="1" applyFill="1" applyBorder="1" applyAlignment="1">
      <alignment horizontal="center" vertical="center" wrapText="1"/>
    </xf>
    <xf numFmtId="165" fontId="38" fillId="0" borderId="3" xfId="0" applyNumberFormat="1" applyFont="1" applyBorder="1" applyAlignment="1">
      <alignment horizontal="right" vertical="center"/>
    </xf>
    <xf numFmtId="165" fontId="64" fillId="19" borderId="0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13" fillId="0" borderId="37" xfId="0" applyFont="1" applyBorder="1" applyAlignment="1">
      <alignment horizontal="center"/>
    </xf>
    <xf numFmtId="0" fontId="72" fillId="0" borderId="0" xfId="4" applyFont="1"/>
    <xf numFmtId="0" fontId="73" fillId="0" borderId="0" xfId="0" applyFont="1"/>
    <xf numFmtId="0" fontId="13" fillId="0" borderId="0" xfId="4" applyFont="1" applyAlignment="1"/>
    <xf numFmtId="0" fontId="37" fillId="0" borderId="3" xfId="0" applyFont="1" applyBorder="1" applyAlignment="1">
      <alignment vertical="center"/>
    </xf>
    <xf numFmtId="0" fontId="38" fillId="0" borderId="5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8" fillId="0" borderId="0" xfId="2" applyFont="1" applyFill="1" applyBorder="1" applyAlignment="1">
      <alignment horizontal="center" vertical="center" wrapText="1"/>
    </xf>
    <xf numFmtId="0" fontId="2" fillId="0" borderId="0" xfId="52" applyFont="1" applyBorder="1"/>
    <xf numFmtId="0" fontId="2" fillId="0" borderId="37" xfId="0" applyFont="1" applyFill="1" applyBorder="1"/>
    <xf numFmtId="0" fontId="2" fillId="0" borderId="0" xfId="0" applyFont="1"/>
    <xf numFmtId="0" fontId="1" fillId="0" borderId="0" xfId="0" applyFont="1"/>
    <xf numFmtId="0" fontId="75" fillId="0" borderId="0" xfId="0" applyFont="1" applyAlignment="1">
      <alignment vertical="center" wrapText="1"/>
    </xf>
    <xf numFmtId="0" fontId="76" fillId="0" borderId="13" xfId="0" applyFont="1" applyBorder="1" applyAlignment="1">
      <alignment vertical="center"/>
    </xf>
    <xf numFmtId="0" fontId="77" fillId="0" borderId="3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 wrapText="1"/>
    </xf>
    <xf numFmtId="0" fontId="77" fillId="0" borderId="5" xfId="0" applyFont="1" applyBorder="1" applyAlignment="1">
      <alignment vertical="center"/>
    </xf>
    <xf numFmtId="0" fontId="77" fillId="0" borderId="11" xfId="0" applyFont="1" applyBorder="1" applyAlignment="1">
      <alignment horizontal="center" vertical="center"/>
    </xf>
    <xf numFmtId="0" fontId="77" fillId="0" borderId="5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7" fillId="0" borderId="3" xfId="0" applyFont="1" applyBorder="1" applyAlignment="1">
      <alignment vertical="center"/>
    </xf>
    <xf numFmtId="0" fontId="77" fillId="0" borderId="10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13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 wrapText="1"/>
    </xf>
    <xf numFmtId="0" fontId="75" fillId="0" borderId="9" xfId="0" applyFont="1" applyBorder="1" applyAlignment="1">
      <alignment vertical="center"/>
    </xf>
    <xf numFmtId="0" fontId="77" fillId="0" borderId="5" xfId="0" applyFont="1" applyBorder="1" applyAlignment="1">
      <alignment horizontal="center" vertical="center"/>
    </xf>
    <xf numFmtId="0" fontId="77" fillId="0" borderId="16" xfId="0" applyFont="1" applyBorder="1" applyAlignment="1">
      <alignment horizontal="center" vertical="center"/>
    </xf>
    <xf numFmtId="0" fontId="75" fillId="0" borderId="4" xfId="0" applyFont="1" applyBorder="1" applyAlignment="1">
      <alignment vertical="center"/>
    </xf>
    <xf numFmtId="0" fontId="75" fillId="0" borderId="28" xfId="0" applyFont="1" applyBorder="1" applyAlignment="1">
      <alignment horizontal="center" vertical="center"/>
    </xf>
    <xf numFmtId="0" fontId="75" fillId="0" borderId="4" xfId="0" applyFont="1" applyBorder="1" applyAlignment="1">
      <alignment horizontal="center" vertical="center"/>
    </xf>
    <xf numFmtId="0" fontId="75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9" fillId="0" borderId="0" xfId="0" applyFont="1" applyAlignment="1">
      <alignment horizontal="center" vertical="center" wrapText="1"/>
    </xf>
    <xf numFmtId="0" fontId="39" fillId="0" borderId="5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horizontal="left" vertical="center" indent="1"/>
    </xf>
    <xf numFmtId="0" fontId="75" fillId="0" borderId="3" xfId="0" applyFont="1" applyBorder="1" applyAlignment="1">
      <alignment horizontal="left" vertical="center" indent="1"/>
    </xf>
    <xf numFmtId="0" fontId="75" fillId="0" borderId="3" xfId="0" applyFont="1" applyBorder="1" applyAlignment="1">
      <alignment horizontal="center" vertical="center"/>
    </xf>
    <xf numFmtId="0" fontId="79" fillId="0" borderId="0" xfId="0" applyFont="1"/>
    <xf numFmtId="0" fontId="13" fillId="0" borderId="1" xfId="2" applyFont="1" applyFill="1" applyBorder="1" applyAlignment="1">
      <alignment horizontal="left"/>
    </xf>
    <xf numFmtId="0" fontId="38" fillId="0" borderId="0" xfId="0" applyFont="1" applyBorder="1" applyAlignment="1">
      <alignment vertical="center"/>
    </xf>
    <xf numFmtId="0" fontId="2" fillId="0" borderId="1" xfId="2" applyFont="1" applyFill="1" applyBorder="1"/>
    <xf numFmtId="0" fontId="2" fillId="0" borderId="0" xfId="2" applyFont="1" applyFill="1" applyBorder="1" applyAlignment="1">
      <alignment horizontal="left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13" fillId="0" borderId="0" xfId="73" applyNumberFormat="1" applyFont="1" applyFill="1" applyBorder="1" applyAlignment="1">
      <alignment horizontal="center" wrapText="1"/>
    </xf>
    <xf numFmtId="0" fontId="39" fillId="0" borderId="0" xfId="0" applyFont="1" applyAlignment="1">
      <alignment vertical="center"/>
    </xf>
    <xf numFmtId="0" fontId="50" fillId="0" borderId="0" xfId="9" applyFont="1" applyFill="1" applyBorder="1"/>
    <xf numFmtId="0" fontId="50" fillId="0" borderId="39" xfId="9" applyFont="1" applyFill="1" applyBorder="1"/>
    <xf numFmtId="0" fontId="42" fillId="0" borderId="0" xfId="9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18" applyFont="1"/>
    <xf numFmtId="0" fontId="2" fillId="0" borderId="1" xfId="0" applyFont="1" applyBorder="1"/>
    <xf numFmtId="0" fontId="2" fillId="0" borderId="0" xfId="51" applyFont="1"/>
    <xf numFmtId="0" fontId="2" fillId="0" borderId="0" xfId="51" applyFont="1" applyAlignment="1">
      <alignment horizontal="left" indent="1"/>
    </xf>
    <xf numFmtId="0" fontId="2" fillId="0" borderId="7" xfId="51" applyFont="1" applyBorder="1"/>
    <xf numFmtId="0" fontId="2" fillId="0" borderId="3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0" fillId="0" borderId="0" xfId="0" applyFont="1"/>
    <xf numFmtId="165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0" fillId="0" borderId="2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40" fillId="0" borderId="23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3" fontId="40" fillId="0" borderId="22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23" xfId="0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65" fontId="40" fillId="0" borderId="22" xfId="0" applyNumberFormat="1" applyFont="1" applyBorder="1" applyAlignment="1">
      <alignment horizontal="right" vertical="center" wrapText="1"/>
    </xf>
    <xf numFmtId="165" fontId="44" fillId="0" borderId="0" xfId="0" applyNumberFormat="1" applyFont="1" applyBorder="1" applyAlignment="1">
      <alignment horizontal="right" vertical="center" wrapText="1"/>
    </xf>
    <xf numFmtId="0" fontId="81" fillId="0" borderId="3" xfId="0" applyFont="1" applyBorder="1" applyAlignment="1">
      <alignment vertical="center" wrapText="1"/>
    </xf>
    <xf numFmtId="165" fontId="81" fillId="0" borderId="3" xfId="0" applyNumberFormat="1" applyFont="1" applyBorder="1" applyAlignment="1">
      <alignment horizontal="right" vertical="center" wrapText="1"/>
    </xf>
    <xf numFmtId="0" fontId="2" fillId="0" borderId="34" xfId="73" applyNumberFormat="1" applyFont="1" applyFill="1" applyBorder="1" applyAlignment="1">
      <alignment horizontal="center" wrapText="1"/>
    </xf>
    <xf numFmtId="0" fontId="2" fillId="0" borderId="0" xfId="73" applyNumberFormat="1" applyFont="1" applyFill="1" applyBorder="1" applyAlignment="1">
      <alignment horizontal="center" wrapText="1"/>
    </xf>
    <xf numFmtId="0" fontId="2" fillId="0" borderId="17" xfId="73" applyNumberFormat="1" applyFont="1" applyFill="1" applyBorder="1" applyAlignment="1">
      <alignment horizontal="center" wrapText="1"/>
    </xf>
    <xf numFmtId="0" fontId="2" fillId="0" borderId="42" xfId="73" applyNumberFormat="1" applyFont="1" applyFill="1" applyBorder="1" applyAlignment="1">
      <alignment horizontal="center" wrapText="1"/>
    </xf>
    <xf numFmtId="0" fontId="2" fillId="0" borderId="0" xfId="73" applyFont="1" applyFill="1" applyBorder="1"/>
    <xf numFmtId="0" fontId="2" fillId="0" borderId="0" xfId="73" applyFont="1" applyFill="1"/>
    <xf numFmtId="0" fontId="37" fillId="0" borderId="0" xfId="0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0" fontId="38" fillId="0" borderId="7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8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82" fillId="0" borderId="0" xfId="0" applyFont="1"/>
    <xf numFmtId="0" fontId="78" fillId="0" borderId="0" xfId="0" applyFont="1"/>
    <xf numFmtId="0" fontId="2" fillId="0" borderId="1" xfId="0" applyFont="1" applyBorder="1" applyAlignment="1">
      <alignment vertical="center"/>
    </xf>
    <xf numFmtId="0" fontId="17" fillId="0" borderId="0" xfId="0" applyFont="1"/>
    <xf numFmtId="0" fontId="2" fillId="0" borderId="0" xfId="4" applyFont="1" applyAlignment="1"/>
    <xf numFmtId="0" fontId="61" fillId="0" borderId="0" xfId="0" applyFont="1" applyFill="1" applyBorder="1" applyAlignment="1">
      <alignment horizontal="center" vertical="center"/>
    </xf>
    <xf numFmtId="0" fontId="13" fillId="0" borderId="0" xfId="4" applyFont="1" applyFill="1" applyAlignment="1">
      <alignment horizontal="left"/>
    </xf>
    <xf numFmtId="0" fontId="0" fillId="0" borderId="0" xfId="0" applyFill="1"/>
    <xf numFmtId="0" fontId="47" fillId="0" borderId="17" xfId="2" applyFont="1" applyFill="1" applyBorder="1" applyAlignment="1">
      <alignment horizontal="left" indent="2"/>
    </xf>
    <xf numFmtId="0" fontId="47" fillId="0" borderId="17" xfId="2" applyFont="1" applyFill="1" applyBorder="1" applyAlignment="1">
      <alignment horizontal="left" wrapText="1" indent="3"/>
    </xf>
    <xf numFmtId="0" fontId="47" fillId="0" borderId="17" xfId="2" applyFont="1" applyBorder="1" applyAlignment="1">
      <alignment horizontal="left" wrapText="1" indent="3"/>
    </xf>
    <xf numFmtId="0" fontId="47" fillId="0" borderId="17" xfId="2" applyFont="1" applyBorder="1" applyAlignment="1">
      <alignment horizontal="left" wrapText="1" indent="2"/>
    </xf>
    <xf numFmtId="0" fontId="47" fillId="0" borderId="17" xfId="2" applyFont="1" applyFill="1" applyBorder="1" applyAlignment="1">
      <alignment horizontal="left" indent="7"/>
    </xf>
    <xf numFmtId="0" fontId="47" fillId="0" borderId="17" xfId="2" applyFont="1" applyBorder="1" applyAlignment="1">
      <alignment horizontal="left" indent="3"/>
    </xf>
    <xf numFmtId="0" fontId="47" fillId="0" borderId="17" xfId="2" applyFont="1" applyFill="1" applyBorder="1" applyAlignment="1">
      <alignment horizontal="left" indent="3"/>
    </xf>
    <xf numFmtId="0" fontId="47" fillId="0" borderId="17" xfId="2" applyFont="1" applyBorder="1" applyAlignment="1">
      <alignment horizontal="left" indent="2"/>
    </xf>
    <xf numFmtId="0" fontId="46" fillId="13" borderId="17" xfId="2" applyFont="1" applyFill="1" applyBorder="1" applyAlignment="1">
      <alignment horizontal="left"/>
    </xf>
    <xf numFmtId="0" fontId="46" fillId="0" borderId="17" xfId="2" applyFont="1" applyBorder="1" applyAlignment="1">
      <alignment horizontal="left" indent="2"/>
    </xf>
    <xf numFmtId="0" fontId="47" fillId="0" borderId="18" xfId="2" applyFont="1" applyFill="1" applyBorder="1" applyAlignment="1">
      <alignment horizontal="left" indent="2"/>
    </xf>
    <xf numFmtId="0" fontId="46" fillId="13" borderId="17" xfId="2" applyFont="1" applyFill="1" applyBorder="1" applyAlignment="1">
      <alignment horizontal="left" indent="1"/>
    </xf>
    <xf numFmtId="0" fontId="46" fillId="0" borderId="17" xfId="2" applyFont="1" applyFill="1" applyBorder="1" applyAlignment="1">
      <alignment horizontal="left" indent="2"/>
    </xf>
    <xf numFmtId="0" fontId="47" fillId="0" borderId="17" xfId="2" applyFont="1" applyBorder="1" applyAlignment="1">
      <alignment horizontal="left" indent="5"/>
    </xf>
    <xf numFmtId="0" fontId="47" fillId="0" borderId="17" xfId="2" applyFont="1" applyBorder="1" applyAlignment="1">
      <alignment horizontal="left" indent="7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2" fillId="0" borderId="0" xfId="4" applyFont="1" applyAlignment="1">
      <alignment horizontal="left"/>
    </xf>
    <xf numFmtId="0" fontId="46" fillId="14" borderId="17" xfId="69" applyFont="1" applyFill="1" applyBorder="1" applyAlignment="1">
      <alignment horizontal="center" vertical="center"/>
    </xf>
    <xf numFmtId="0" fontId="46" fillId="14" borderId="18" xfId="69" applyFont="1" applyFill="1" applyBorder="1" applyAlignment="1">
      <alignment horizontal="center" vertical="center"/>
    </xf>
    <xf numFmtId="0" fontId="46" fillId="14" borderId="17" xfId="69" applyFont="1" applyFill="1" applyBorder="1" applyAlignment="1">
      <alignment horizontal="center" vertical="center" wrapText="1"/>
    </xf>
    <xf numFmtId="0" fontId="46" fillId="14" borderId="18" xfId="69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43" fillId="0" borderId="4" xfId="0" applyFont="1" applyBorder="1" applyAlignment="1">
      <alignment horizontal="right" vertical="center"/>
    </xf>
    <xf numFmtId="0" fontId="37" fillId="0" borderId="3" xfId="0" applyFont="1" applyBorder="1" applyAlignment="1">
      <alignment vertical="center"/>
    </xf>
    <xf numFmtId="0" fontId="38" fillId="0" borderId="7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53" fillId="0" borderId="3" xfId="18" applyFont="1" applyBorder="1" applyAlignment="1">
      <alignment horizontal="left"/>
    </xf>
    <xf numFmtId="0" fontId="37" fillId="0" borderId="1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44" fillId="0" borderId="0" xfId="0" applyFont="1" applyBorder="1" applyAlignment="1">
      <alignment horizontal="right" vertical="center" wrapText="1"/>
    </xf>
    <xf numFmtId="0" fontId="43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left" vertical="center"/>
    </xf>
    <xf numFmtId="0" fontId="44" fillId="0" borderId="23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/>
    </xf>
    <xf numFmtId="0" fontId="44" fillId="0" borderId="4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right" vertical="center" wrapText="1"/>
    </xf>
    <xf numFmtId="0" fontId="43" fillId="0" borderId="23" xfId="0" applyFont="1" applyBorder="1" applyAlignment="1">
      <alignment vertical="center" wrapText="1"/>
    </xf>
    <xf numFmtId="0" fontId="13" fillId="0" borderId="34" xfId="73" applyNumberFormat="1" applyFont="1" applyFill="1" applyBorder="1" applyAlignment="1">
      <alignment horizontal="center" wrapText="1"/>
    </xf>
    <xf numFmtId="0" fontId="13" fillId="0" borderId="0" xfId="73" applyNumberFormat="1" applyFont="1" applyFill="1" applyBorder="1" applyAlignment="1">
      <alignment horizontal="center" wrapText="1"/>
    </xf>
    <xf numFmtId="0" fontId="13" fillId="0" borderId="17" xfId="73" applyNumberFormat="1" applyFont="1" applyFill="1" applyBorder="1" applyAlignment="1">
      <alignment horizontal="center" wrapText="1"/>
    </xf>
    <xf numFmtId="0" fontId="2" fillId="0" borderId="50" xfId="73" applyNumberFormat="1" applyFont="1" applyFill="1" applyBorder="1" applyAlignment="1">
      <alignment horizontal="center" wrapText="1"/>
    </xf>
    <xf numFmtId="0" fontId="13" fillId="0" borderId="2" xfId="73" applyNumberFormat="1" applyFont="1" applyFill="1" applyBorder="1" applyAlignment="1">
      <alignment horizontal="center" wrapText="1"/>
    </xf>
    <xf numFmtId="0" fontId="13" fillId="0" borderId="20" xfId="73" applyNumberFormat="1" applyFont="1" applyFill="1" applyBorder="1" applyAlignment="1">
      <alignment horizontal="center" wrapText="1"/>
    </xf>
    <xf numFmtId="0" fontId="78" fillId="0" borderId="0" xfId="0" applyFont="1" applyAlignment="1">
      <alignment vertical="center"/>
    </xf>
    <xf numFmtId="0" fontId="75" fillId="0" borderId="6" xfId="0" applyFont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75" fillId="0" borderId="49" xfId="0" applyFont="1" applyBorder="1" applyAlignment="1">
      <alignment horizontal="center" vertical="center"/>
    </xf>
    <xf numFmtId="0" fontId="75" fillId="0" borderId="4" xfId="0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8" fillId="0" borderId="4" xfId="0" applyFont="1" applyBorder="1" applyAlignment="1">
      <alignment vertical="center"/>
    </xf>
    <xf numFmtId="0" fontId="78" fillId="0" borderId="4" xfId="0" applyFont="1" applyBorder="1" applyAlignment="1">
      <alignment horizontal="left" vertical="center" indent="3"/>
    </xf>
    <xf numFmtId="0" fontId="75" fillId="0" borderId="8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7" fillId="0" borderId="7" xfId="0" applyFont="1" applyBorder="1" applyAlignment="1">
      <alignment horizontal="center" vertical="center"/>
    </xf>
    <xf numFmtId="0" fontId="77" fillId="0" borderId="5" xfId="0" applyFont="1" applyBorder="1" applyAlignment="1">
      <alignment horizontal="center" vertical="center"/>
    </xf>
    <xf numFmtId="0" fontId="37" fillId="0" borderId="3" xfId="0" applyFont="1" applyBorder="1" applyAlignment="1">
      <alignment horizontal="justify" vertical="center"/>
    </xf>
    <xf numFmtId="0" fontId="77" fillId="0" borderId="14" xfId="0" applyFont="1" applyBorder="1" applyAlignment="1">
      <alignment horizontal="center" vertical="center"/>
    </xf>
    <xf numFmtId="0" fontId="77" fillId="0" borderId="15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8" fillId="0" borderId="1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4" xfId="0" applyFont="1" applyBorder="1" applyAlignment="1">
      <alignment vertical="center"/>
    </xf>
    <xf numFmtId="0" fontId="39" fillId="0" borderId="4" xfId="0" applyFont="1" applyBorder="1" applyAlignment="1">
      <alignment horizontal="left" vertical="center" indent="3"/>
    </xf>
    <xf numFmtId="0" fontId="39" fillId="0" borderId="5" xfId="0" applyFont="1" applyBorder="1" applyAlignment="1">
      <alignment horizontal="center" vertical="center"/>
    </xf>
    <xf numFmtId="0" fontId="1" fillId="0" borderId="4" xfId="0" applyFont="1" applyBorder="1"/>
    <xf numFmtId="0" fontId="79" fillId="0" borderId="4" xfId="0" applyFont="1" applyBorder="1" applyAlignment="1">
      <alignment horizontal="right" vertical="center"/>
    </xf>
    <xf numFmtId="0" fontId="38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justify" vertical="center" wrapText="1"/>
    </xf>
    <xf numFmtId="0" fontId="79" fillId="0" borderId="4" xfId="0" applyFont="1" applyBorder="1" applyAlignment="1">
      <alignment vertical="center"/>
    </xf>
    <xf numFmtId="0" fontId="37" fillId="0" borderId="3" xfId="0" applyFont="1" applyBorder="1" applyAlignment="1">
      <alignment horizontal="justify" vertical="center" wrapText="1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3" xfId="0" applyFont="1" applyFill="1" applyBorder="1" applyAlignment="1">
      <alignment vertical="center" wrapText="1"/>
    </xf>
    <xf numFmtId="0" fontId="53" fillId="0" borderId="3" xfId="60" applyFont="1" applyBorder="1" applyAlignment="1">
      <alignment horizontal="left"/>
    </xf>
    <xf numFmtId="172" fontId="53" fillId="0" borderId="3" xfId="61" applyNumberFormat="1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3" fillId="0" borderId="0" xfId="0" applyFont="1" applyBorder="1" applyAlignment="1">
      <alignment horizontal="left"/>
    </xf>
    <xf numFmtId="0" fontId="67" fillId="0" borderId="3" xfId="0" applyFont="1" applyBorder="1" applyAlignment="1">
      <alignment horizontal="left"/>
    </xf>
    <xf numFmtId="0" fontId="39" fillId="0" borderId="0" xfId="2" applyFont="1" applyFill="1" applyBorder="1" applyAlignment="1">
      <alignment horizontal="left" vertical="top" wrapText="1"/>
    </xf>
    <xf numFmtId="0" fontId="38" fillId="0" borderId="0" xfId="2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justify" vertical="center"/>
    </xf>
    <xf numFmtId="0" fontId="43" fillId="2" borderId="4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 wrapText="1"/>
    </xf>
  </cellXfs>
  <cellStyles count="75">
    <cellStyle name="Accent5" xfId="41"/>
    <cellStyle name="Accent6" xfId="42"/>
    <cellStyle name="Čiarka" xfId="8" builtinId="3"/>
    <cellStyle name="Čiarka 2" xfId="16"/>
    <cellStyle name="Čiarka 2 2" xfId="36"/>
    <cellStyle name="Čiarka 2 2 2" xfId="61"/>
    <cellStyle name="Čiarka 3" xfId="28"/>
    <cellStyle name="Čiarka 3 2" xfId="29"/>
    <cellStyle name="Čiarka 4" xfId="33"/>
    <cellStyle name="Čiarka 5" xfId="63"/>
    <cellStyle name="Čiarka 6" xfId="74"/>
    <cellStyle name="Excel Built-in Normal" xfId="10"/>
    <cellStyle name="Hypertextové prepojenie" xfId="4" builtinId="8"/>
    <cellStyle name="Hypertextové prepojenie 2" xfId="43"/>
    <cellStyle name="Hypertextové prepojenie 3" xfId="48"/>
    <cellStyle name="Kontrolná bunka 2" xfId="40"/>
    <cellStyle name="Nadpis 1 2" xfId="38"/>
    <cellStyle name="Normal 2" xfId="1"/>
    <cellStyle name="Normal 45" xfId="56"/>
    <cellStyle name="Normal 45 2" xfId="71"/>
    <cellStyle name="Normal_TAB2 2" xfId="57"/>
    <cellStyle name="Normálna 11" xfId="3"/>
    <cellStyle name="Normálna 2" xfId="44"/>
    <cellStyle name="Normálna 2 2" xfId="5"/>
    <cellStyle name="Normálna 2 4" xfId="65"/>
    <cellStyle name="Normálna 3" xfId="17"/>
    <cellStyle name="Normálna 3 2" xfId="70"/>
    <cellStyle name="Normálna 4" xfId="14"/>
    <cellStyle name="Normálna 4 2" xfId="46"/>
    <cellStyle name="Normálna 4 3" xfId="45"/>
    <cellStyle name="Normálna 6" xfId="6"/>
    <cellStyle name="Normálne" xfId="0" builtinId="0"/>
    <cellStyle name="Normálne 10" xfId="55"/>
    <cellStyle name="normálne 10 2" xfId="69"/>
    <cellStyle name="Normálne 11" xfId="66"/>
    <cellStyle name="Normálne 12" xfId="73"/>
    <cellStyle name="Normálne 14" xfId="9"/>
    <cellStyle name="Normálne 14 2" xfId="11"/>
    <cellStyle name="Normálne 14 2 2" xfId="19"/>
    <cellStyle name="Normálne 14 3" xfId="18"/>
    <cellStyle name="Normálne 2" xfId="2"/>
    <cellStyle name="Normálne 2 2" xfId="20"/>
    <cellStyle name="Normálne 2 3" xfId="34"/>
    <cellStyle name="Normálne 2 4" xfId="51"/>
    <cellStyle name="Normálne 3" xfId="13"/>
    <cellStyle name="Normálne 3 2" xfId="26"/>
    <cellStyle name="Normálne 3 3" xfId="35"/>
    <cellStyle name="Normálne 3 3 2" xfId="60"/>
    <cellStyle name="Normálne 3 4" xfId="53"/>
    <cellStyle name="Normálne 4" xfId="22"/>
    <cellStyle name="Normálne 4 2" xfId="59"/>
    <cellStyle name="normálne 4 3" xfId="64"/>
    <cellStyle name="Normálne 5" xfId="23"/>
    <cellStyle name="Normálne 50 2" xfId="30"/>
    <cellStyle name="Normálne 6" xfId="31"/>
    <cellStyle name="Normálne 6 2" xfId="68"/>
    <cellStyle name="Normálne 7" xfId="32"/>
    <cellStyle name="Normálne 8" xfId="52"/>
    <cellStyle name="Normálne 9" xfId="54"/>
    <cellStyle name="Normálne 9 2" xfId="62"/>
    <cellStyle name="normálne 9_Tabulky IFP_casove rady-request_20111102_" xfId="72"/>
    <cellStyle name="Percentá" xfId="12" builtinId="5"/>
    <cellStyle name="Percentá 2" xfId="15"/>
    <cellStyle name="percentá 2 10" xfId="7"/>
    <cellStyle name="Percentá 2 2" xfId="21"/>
    <cellStyle name="Percentá 2 3" xfId="25"/>
    <cellStyle name="Percentá 2 4" xfId="37"/>
    <cellStyle name="Percentá 2 5" xfId="49"/>
    <cellStyle name="Percentá 2 6" xfId="50"/>
    <cellStyle name="Percentá 3" xfId="24"/>
    <cellStyle name="Percentá 3 2" xfId="27"/>
    <cellStyle name="Percentá 4" xfId="58"/>
    <cellStyle name="Percentá 5" xfId="67"/>
    <cellStyle name="Použité hypertextové prepojenie 2" xfId="47"/>
    <cellStyle name="Zlá 2" xfId="39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FBFBF"/>
      <color rgb="FF2C9ADC"/>
      <color rgb="FF7F7F7F"/>
      <color rgb="FFC5E0B4"/>
      <color rgb="FFB0D6AF"/>
      <color rgb="FFC6D9F1"/>
      <color rgb="FFD3B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63" Type="http://schemas.openxmlformats.org/officeDocument/2006/relationships/externalLink" Target="externalLinks/externalLink28.xml"/><Relationship Id="rId68" Type="http://schemas.openxmlformats.org/officeDocument/2006/relationships/externalLink" Target="externalLinks/externalLink33.xml"/><Relationship Id="rId84" Type="http://schemas.openxmlformats.org/officeDocument/2006/relationships/externalLink" Target="externalLinks/externalLink49.xml"/><Relationship Id="rId89" Type="http://schemas.openxmlformats.org/officeDocument/2006/relationships/externalLink" Target="externalLinks/externalLink5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39.xml"/><Relationship Id="rId79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52.xml"/><Relationship Id="rId102" Type="http://schemas.openxmlformats.org/officeDocument/2006/relationships/externalLink" Target="externalLinks/externalLink67.xml"/><Relationship Id="rId110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6.xml"/><Relationship Id="rId82" Type="http://schemas.openxmlformats.org/officeDocument/2006/relationships/externalLink" Target="externalLinks/externalLink47.xml"/><Relationship Id="rId90" Type="http://schemas.openxmlformats.org/officeDocument/2006/relationships/externalLink" Target="externalLinks/externalLink55.xml"/><Relationship Id="rId95" Type="http://schemas.openxmlformats.org/officeDocument/2006/relationships/externalLink" Target="externalLinks/externalLink6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29.xml"/><Relationship Id="rId69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42.xml"/><Relationship Id="rId100" Type="http://schemas.openxmlformats.org/officeDocument/2006/relationships/externalLink" Target="externalLinks/externalLink65.xml"/><Relationship Id="rId105" Type="http://schemas.openxmlformats.org/officeDocument/2006/relationships/externalLink" Target="externalLinks/externalLink7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37.xml"/><Relationship Id="rId80" Type="http://schemas.openxmlformats.org/officeDocument/2006/relationships/externalLink" Target="externalLinks/externalLink45.xml"/><Relationship Id="rId85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58.xml"/><Relationship Id="rId98" Type="http://schemas.openxmlformats.org/officeDocument/2006/relationships/externalLink" Target="externalLinks/externalLink6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32.xml"/><Relationship Id="rId103" Type="http://schemas.openxmlformats.org/officeDocument/2006/relationships/externalLink" Target="externalLinks/externalLink68.xml"/><Relationship Id="rId108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70" Type="http://schemas.openxmlformats.org/officeDocument/2006/relationships/externalLink" Target="externalLinks/externalLink35.xml"/><Relationship Id="rId75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48.xml"/><Relationship Id="rId88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56.xml"/><Relationship Id="rId96" Type="http://schemas.openxmlformats.org/officeDocument/2006/relationships/externalLink" Target="externalLinks/externalLink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106" Type="http://schemas.openxmlformats.org/officeDocument/2006/relationships/externalLink" Target="externalLinks/externalLink7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38.xml"/><Relationship Id="rId78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46.xml"/><Relationship Id="rId86" Type="http://schemas.openxmlformats.org/officeDocument/2006/relationships/externalLink" Target="externalLinks/externalLink51.xml"/><Relationship Id="rId94" Type="http://schemas.openxmlformats.org/officeDocument/2006/relationships/externalLink" Target="externalLinks/externalLink59.xml"/><Relationship Id="rId99" Type="http://schemas.openxmlformats.org/officeDocument/2006/relationships/externalLink" Target="externalLinks/externalLink64.xml"/><Relationship Id="rId101" Type="http://schemas.openxmlformats.org/officeDocument/2006/relationships/externalLink" Target="externalLinks/externalLink6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4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76" Type="http://schemas.openxmlformats.org/officeDocument/2006/relationships/externalLink" Target="externalLinks/externalLink41.xml"/><Relationship Id="rId97" Type="http://schemas.openxmlformats.org/officeDocument/2006/relationships/externalLink" Target="externalLinks/externalLink62.xml"/><Relationship Id="rId104" Type="http://schemas.openxmlformats.org/officeDocument/2006/relationships/externalLink" Target="externalLinks/externalLink6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6.xml"/><Relationship Id="rId92" Type="http://schemas.openxmlformats.org/officeDocument/2006/relationships/externalLink" Target="externalLinks/externalLink5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19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0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3708541418402E-2"/>
          <c:y val="0.2105723273864003"/>
          <c:w val="0.89153653846153846"/>
          <c:h val="0.6919454448038957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'Graf 1 + 2'!$E$10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670313639679067E-2"/>
                  <c:y val="9.52988969433339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B3-4B92-8B90-2074EA58F69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 + 2'!$G$9:$L$9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+ 2'!$G$10:$L$10</c:f>
              <c:numCache>
                <c:formatCode>0.0</c:formatCode>
                <c:ptCount val="6"/>
                <c:pt idx="0">
                  <c:v>-2.1009864074983864</c:v>
                </c:pt>
                <c:pt idx="1">
                  <c:v>-0.83153846998002012</c:v>
                </c:pt>
                <c:pt idx="2">
                  <c:v>-0.81748292666450073</c:v>
                </c:pt>
                <c:pt idx="3">
                  <c:v>-0.57470191992028918</c:v>
                </c:pt>
                <c:pt idx="4">
                  <c:v>-0.50392028055833749</c:v>
                </c:pt>
                <c:pt idx="5">
                  <c:v>-0.285663740111401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B3-4B92-8B90-2074EA58F692}"/>
            </c:ext>
          </c:extLst>
        </c:ser>
        <c:ser>
          <c:idx val="0"/>
          <c:order val="2"/>
          <c:tx>
            <c:strRef>
              <c:f>'Graf 1 + 2'!$E$11</c:f>
              <c:strCache>
                <c:ptCount val="1"/>
                <c:pt idx="0">
                  <c:v>Nominálne saldo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1.4587892049598834E-2"/>
                  <c:y val="5.1981817005994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4587892049598726E-2"/>
                  <c:y val="9.356727061079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598832968636035E-2"/>
                  <c:y val="2.079272680239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EB3-4B92-8B90-2074EA58F69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 + 2'!$G$9:$L$9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+ 2'!$G$11:$L$11</c:f>
              <c:numCache>
                <c:formatCode>0.00</c:formatCode>
                <c:ptCount val="6"/>
                <c:pt idx="0">
                  <c:v>-2.2218395317473987</c:v>
                </c:pt>
                <c:pt idx="1">
                  <c:v>-0.7770491556751673</c:v>
                </c:pt>
                <c:pt idx="2">
                  <c:v>-0.6</c:v>
                </c:pt>
                <c:pt idx="3">
                  <c:v>-0.1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EB3-4B92-8B90-2074EA58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19232"/>
        <c:axId val="812119624"/>
      </c:barChart>
      <c:lineChart>
        <c:grouping val="standard"/>
        <c:varyColors val="0"/>
        <c:ser>
          <c:idx val="4"/>
          <c:order val="0"/>
          <c:tx>
            <c:strRef>
              <c:f>'Graf 1 + 2'!$E$12</c:f>
              <c:strCache>
                <c:ptCount val="1"/>
                <c:pt idx="0">
                  <c:v>Konsolidačné úsilie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EB3-4B92-8B90-2074EA58F692}"/>
              </c:ext>
            </c:extLst>
          </c:dPt>
          <c:dLbls>
            <c:dLbl>
              <c:idx val="3"/>
              <c:layout>
                <c:manualLayout>
                  <c:x val="-4.6727523132404268E-2"/>
                  <c:y val="-6.8681958233481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7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896479293199784E-2"/>
                  <c:y val="-6.497765298717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8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997260462792368E-2"/>
                  <c:y val="-7.44147099109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9-0EB3-4B92-8B90-2074EA58F692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5875" cmpd="sng">
                <a:solidFill>
                  <a:schemeClr val="tx1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+ 2'!$G$9:$L$9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+ 2'!$G$12:$L$12</c:f>
              <c:numCache>
                <c:formatCode>0.0</c:formatCode>
                <c:ptCount val="6"/>
                <c:pt idx="0">
                  <c:v>0.2362822651505998</c:v>
                </c:pt>
                <c:pt idx="1">
                  <c:v>1.2694479375183663</c:v>
                </c:pt>
                <c:pt idx="2">
                  <c:v>1.4055543315519392E-2</c:v>
                </c:pt>
                <c:pt idx="3">
                  <c:v>0.24278100674421155</c:v>
                </c:pt>
                <c:pt idx="4">
                  <c:v>7.0781639361951698E-2</c:v>
                </c:pt>
                <c:pt idx="5">
                  <c:v>0.21825654044693649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A-0EB3-4B92-8B90-2074EA58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9232"/>
        <c:axId val="812119624"/>
        <c:extLst xmlns:c16r2="http://schemas.microsoft.com/office/drawing/2015/06/chart"/>
      </c:lineChart>
      <c:catAx>
        <c:axId val="81211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sk-SK"/>
          </a:p>
        </c:txPr>
        <c:crossAx val="812119624"/>
        <c:crosses val="autoZero"/>
        <c:auto val="1"/>
        <c:lblAlgn val="ctr"/>
        <c:lblOffset val="100"/>
        <c:noMultiLvlLbl val="0"/>
      </c:catAx>
      <c:valAx>
        <c:axId val="812119624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81211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5767820990539"/>
          <c:y val="5.7696663886006493E-2"/>
          <c:w val="0.77830706762233592"/>
          <c:h val="0.128228156399122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 + 6'!$L$18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+ 6'!$O$18:$T$18</c:f>
              <c:numCache>
                <c:formatCode>0.0</c:formatCode>
                <c:ptCount val="6"/>
                <c:pt idx="0">
                  <c:v>0.17326731824941455</c:v>
                </c:pt>
                <c:pt idx="1">
                  <c:v>0.87553326711939694</c:v>
                </c:pt>
                <c:pt idx="2">
                  <c:v>1.6336309211233262</c:v>
                </c:pt>
                <c:pt idx="3">
                  <c:v>1.7687449925899175</c:v>
                </c:pt>
                <c:pt idx="4">
                  <c:v>1.9495872174991262</c:v>
                </c:pt>
                <c:pt idx="5">
                  <c:v>2.0495665180765132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7E-4D11-B3F5-AAE5DC1528B5}"/>
            </c:ext>
          </c:extLst>
        </c:ser>
        <c:ser>
          <c:idx val="2"/>
          <c:order val="2"/>
          <c:tx>
            <c:strRef>
              <c:f>'Graf 5 + 6'!$L$19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+ 6'!$O$19:$T$19</c:f>
              <c:numCache>
                <c:formatCode>0.0</c:formatCode>
                <c:ptCount val="6"/>
                <c:pt idx="0">
                  <c:v>-0.12327560839583385</c:v>
                </c:pt>
                <c:pt idx="1">
                  <c:v>0.71369693522654831</c:v>
                </c:pt>
                <c:pt idx="2">
                  <c:v>0.67386291466012627</c:v>
                </c:pt>
                <c:pt idx="3">
                  <c:v>0.3109360311276676</c:v>
                </c:pt>
                <c:pt idx="4">
                  <c:v>0.41901543243073752</c:v>
                </c:pt>
                <c:pt idx="5">
                  <c:v>0.49156988559252052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7E-4D11-B3F5-AAE5DC1528B5}"/>
            </c:ext>
          </c:extLst>
        </c:ser>
        <c:ser>
          <c:idx val="3"/>
          <c:order val="3"/>
          <c:tx>
            <c:strRef>
              <c:f>'Graf 5 + 6'!$L$20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+ 6'!$O$20:$T$20</c:f>
              <c:numCache>
                <c:formatCode>0.0</c:formatCode>
                <c:ptCount val="6"/>
                <c:pt idx="0">
                  <c:v>-0.2461199178838572</c:v>
                </c:pt>
                <c:pt idx="1">
                  <c:v>-0.38336891664329975</c:v>
                </c:pt>
                <c:pt idx="2">
                  <c:v>0.19533136133880888</c:v>
                </c:pt>
                <c:pt idx="3">
                  <c:v>0.36691288737033168</c:v>
                </c:pt>
                <c:pt idx="4">
                  <c:v>0.11506697922838198</c:v>
                </c:pt>
                <c:pt idx="5">
                  <c:v>-4.5966578988578366E-2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7E-4D11-B3F5-AAE5DC1528B5}"/>
            </c:ext>
          </c:extLst>
        </c:ser>
        <c:ser>
          <c:idx val="4"/>
          <c:order val="4"/>
          <c:tx>
            <c:strRef>
              <c:f>'Graf 5 + 6'!$L$21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+ 6'!$O$21:$T$21</c:f>
              <c:numCache>
                <c:formatCode>General</c:formatCode>
                <c:ptCount val="6"/>
                <c:pt idx="0">
                  <c:v>-0.32</c:v>
                </c:pt>
                <c:pt idx="1">
                  <c:v>7.0000000000000007E-2</c:v>
                </c:pt>
                <c:pt idx="2">
                  <c:v>0</c:v>
                </c:pt>
                <c:pt idx="3">
                  <c:v>0.05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7E-4D11-B3F5-AAE5DC15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711896"/>
        <c:axId val="827712288"/>
      </c:barChart>
      <c:lineChart>
        <c:grouping val="standard"/>
        <c:varyColors val="0"/>
        <c:ser>
          <c:idx val="0"/>
          <c:order val="0"/>
          <c:tx>
            <c:strRef>
              <c:f>'Graf 5 + 6'!$L$17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87E-4D11-B3F5-AAE5DC1528B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87E-4D11-B3F5-AAE5DC1528B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+ 6'!$O$17:$T$17</c:f>
              <c:numCache>
                <c:formatCode>0.0</c:formatCode>
                <c:ptCount val="6"/>
                <c:pt idx="0">
                  <c:v>-0.51612820803027648</c:v>
                </c:pt>
                <c:pt idx="1">
                  <c:v>1.2758612857026457</c:v>
                </c:pt>
                <c:pt idx="2">
                  <c:v>2.5028251971222613</c:v>
                </c:pt>
                <c:pt idx="3">
                  <c:v>2.4965939110879165</c:v>
                </c:pt>
                <c:pt idx="4">
                  <c:v>2.4836696291582459</c:v>
                </c:pt>
                <c:pt idx="5">
                  <c:v>2.4951698246804552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87E-4D11-B3F5-AAE5DC15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711896"/>
        <c:axId val="827712288"/>
      </c:lineChart>
      <c:catAx>
        <c:axId val="82771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27712288"/>
        <c:crosses val="autoZero"/>
        <c:auto val="1"/>
        <c:lblAlgn val="ctr"/>
        <c:lblOffset val="100"/>
        <c:noMultiLvlLbl val="1"/>
      </c:catAx>
      <c:valAx>
        <c:axId val="827712288"/>
        <c:scaling>
          <c:orientation val="minMax"/>
          <c:max val="3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27711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 + 6'!$M$18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+ 6'!$O$18:$T$18</c:f>
              <c:numCache>
                <c:formatCode>0.0</c:formatCode>
                <c:ptCount val="6"/>
                <c:pt idx="0">
                  <c:v>0.17326731824941455</c:v>
                </c:pt>
                <c:pt idx="1">
                  <c:v>0.87553326711939694</c:v>
                </c:pt>
                <c:pt idx="2">
                  <c:v>1.6336309211233262</c:v>
                </c:pt>
                <c:pt idx="3">
                  <c:v>1.7687449925899175</c:v>
                </c:pt>
                <c:pt idx="4">
                  <c:v>1.9495872174991262</c:v>
                </c:pt>
                <c:pt idx="5">
                  <c:v>2.0495665180765132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7E-4D11-B3F5-AAE5DC1528B5}"/>
            </c:ext>
          </c:extLst>
        </c:ser>
        <c:ser>
          <c:idx val="2"/>
          <c:order val="2"/>
          <c:tx>
            <c:strRef>
              <c:f>'Graf 5 + 6'!$M$19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+ 6'!$O$19:$T$19</c:f>
              <c:numCache>
                <c:formatCode>0.0</c:formatCode>
                <c:ptCount val="6"/>
                <c:pt idx="0">
                  <c:v>-0.12327560839583385</c:v>
                </c:pt>
                <c:pt idx="1">
                  <c:v>0.71369693522654831</c:v>
                </c:pt>
                <c:pt idx="2">
                  <c:v>0.67386291466012627</c:v>
                </c:pt>
                <c:pt idx="3">
                  <c:v>0.3109360311276676</c:v>
                </c:pt>
                <c:pt idx="4">
                  <c:v>0.41901543243073752</c:v>
                </c:pt>
                <c:pt idx="5">
                  <c:v>0.49156988559252052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7E-4D11-B3F5-AAE5DC1528B5}"/>
            </c:ext>
          </c:extLst>
        </c:ser>
        <c:ser>
          <c:idx val="3"/>
          <c:order val="3"/>
          <c:tx>
            <c:strRef>
              <c:f>'Graf 5 + 6'!$M$20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+ 6'!$O$20:$T$20</c:f>
              <c:numCache>
                <c:formatCode>0.0</c:formatCode>
                <c:ptCount val="6"/>
                <c:pt idx="0">
                  <c:v>-0.2461199178838572</c:v>
                </c:pt>
                <c:pt idx="1">
                  <c:v>-0.38336891664329975</c:v>
                </c:pt>
                <c:pt idx="2">
                  <c:v>0.19533136133880888</c:v>
                </c:pt>
                <c:pt idx="3">
                  <c:v>0.36691288737033168</c:v>
                </c:pt>
                <c:pt idx="4">
                  <c:v>0.11506697922838198</c:v>
                </c:pt>
                <c:pt idx="5">
                  <c:v>-4.5966578988578366E-2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7E-4D11-B3F5-AAE5DC1528B5}"/>
            </c:ext>
          </c:extLst>
        </c:ser>
        <c:ser>
          <c:idx val="4"/>
          <c:order val="4"/>
          <c:tx>
            <c:strRef>
              <c:f>'Graf 5 + 6'!$M$21</c:f>
              <c:strCache>
                <c:ptCount val="1"/>
                <c:pt idx="0">
                  <c:v>Change in indirect taxes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+ 6'!$O$21:$T$21</c:f>
              <c:numCache>
                <c:formatCode>General</c:formatCode>
                <c:ptCount val="6"/>
                <c:pt idx="0">
                  <c:v>-0.32</c:v>
                </c:pt>
                <c:pt idx="1">
                  <c:v>7.0000000000000007E-2</c:v>
                </c:pt>
                <c:pt idx="2">
                  <c:v>0</c:v>
                </c:pt>
                <c:pt idx="3">
                  <c:v>0.05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7E-4D11-B3F5-AAE5DC15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713072"/>
        <c:axId val="919323408"/>
      </c:barChart>
      <c:lineChart>
        <c:grouping val="standard"/>
        <c:varyColors val="0"/>
        <c:ser>
          <c:idx val="0"/>
          <c:order val="0"/>
          <c:tx>
            <c:strRef>
              <c:f>'Graf 5 + 6'!$M$17</c:f>
              <c:strCache>
                <c:ptCount val="1"/>
                <c:pt idx="0">
                  <c:v>Headline inflation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87E-4D11-B3F5-AAE5DC1528B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87E-4D11-B3F5-AAE5DC1528B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 + 6'!$O$16:$T$16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+ 6'!$O$17:$T$17</c:f>
              <c:numCache>
                <c:formatCode>0.0</c:formatCode>
                <c:ptCount val="6"/>
                <c:pt idx="0">
                  <c:v>-0.51612820803027648</c:v>
                </c:pt>
                <c:pt idx="1">
                  <c:v>1.2758612857026457</c:v>
                </c:pt>
                <c:pt idx="2">
                  <c:v>2.5028251971222613</c:v>
                </c:pt>
                <c:pt idx="3">
                  <c:v>2.4965939110879165</c:v>
                </c:pt>
                <c:pt idx="4">
                  <c:v>2.4836696291582459</c:v>
                </c:pt>
                <c:pt idx="5">
                  <c:v>2.4951698246804552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87E-4D11-B3F5-AAE5DC15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713072"/>
        <c:axId val="919323408"/>
      </c:lineChart>
      <c:catAx>
        <c:axId val="8277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19323408"/>
        <c:crosses val="autoZero"/>
        <c:auto val="1"/>
        <c:lblAlgn val="ctr"/>
        <c:lblOffset val="100"/>
        <c:noMultiLvlLbl val="1"/>
      </c:catAx>
      <c:valAx>
        <c:axId val="919323408"/>
        <c:scaling>
          <c:orientation val="minMax"/>
          <c:max val="3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2771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 + 6'!$M$9</c:f>
              <c:strCache>
                <c:ptCount val="1"/>
                <c:pt idx="0">
                  <c:v>Public administration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+ 6'!$Q$9:$V$9</c:f>
              <c:numCache>
                <c:formatCode>0.0</c:formatCode>
                <c:ptCount val="6"/>
                <c:pt idx="0">
                  <c:v>0.25556912650848129</c:v>
                </c:pt>
                <c:pt idx="1">
                  <c:v>0.18327919832799822</c:v>
                </c:pt>
                <c:pt idx="2">
                  <c:v>0.23452252042528596</c:v>
                </c:pt>
                <c:pt idx="3">
                  <c:v>9.4797673850854247E-2</c:v>
                </c:pt>
                <c:pt idx="4">
                  <c:v>7.1782031369577254E-2</c:v>
                </c:pt>
                <c:pt idx="5">
                  <c:v>4.7086801322647469E-2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2-4EDD-B698-825ED83A0284}"/>
            </c:ext>
          </c:extLst>
        </c:ser>
        <c:ser>
          <c:idx val="2"/>
          <c:order val="2"/>
          <c:tx>
            <c:strRef>
              <c:f>'Graf 5 + 6'!$M$10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+ 6'!$Q$10:$V$10</c:f>
              <c:numCache>
                <c:formatCode>0.0</c:formatCode>
                <c:ptCount val="6"/>
                <c:pt idx="0">
                  <c:v>1.2378826314004245</c:v>
                </c:pt>
                <c:pt idx="1">
                  <c:v>1.0369018491208073</c:v>
                </c:pt>
                <c:pt idx="2">
                  <c:v>0.92769417972891255</c:v>
                </c:pt>
                <c:pt idx="3">
                  <c:v>0.62708933519355137</c:v>
                </c:pt>
                <c:pt idx="4">
                  <c:v>0.45486823018612416</c:v>
                </c:pt>
                <c:pt idx="5">
                  <c:v>0.37412472575381356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42-4EDD-B698-825ED83A0284}"/>
            </c:ext>
          </c:extLst>
        </c:ser>
        <c:ser>
          <c:idx val="3"/>
          <c:order val="3"/>
          <c:tx>
            <c:strRef>
              <c:f>'Graf 5 + 6'!$M$11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+ 6'!$Q$11:$V$11</c:f>
              <c:numCache>
                <c:formatCode>0.0</c:formatCode>
                <c:ptCount val="6"/>
                <c:pt idx="0">
                  <c:v>0.79052638682861953</c:v>
                </c:pt>
                <c:pt idx="1">
                  <c:v>0.93160463221586653</c:v>
                </c:pt>
                <c:pt idx="2">
                  <c:v>0.57096454653544648</c:v>
                </c:pt>
                <c:pt idx="3">
                  <c:v>0.34848170139601581</c:v>
                </c:pt>
                <c:pt idx="4">
                  <c:v>0.29441481253056695</c:v>
                </c:pt>
                <c:pt idx="5">
                  <c:v>0.22069144309403288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42-4EDD-B698-825ED83A0284}"/>
            </c:ext>
          </c:extLst>
        </c:ser>
        <c:ser>
          <c:idx val="4"/>
          <c:order val="4"/>
          <c:tx>
            <c:strRef>
              <c:f>'Graf 5 + 6'!$M$12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+ 6'!$Q$12:$V$12</c:f>
              <c:numCache>
                <c:formatCode>0.0</c:formatCode>
                <c:ptCount val="6"/>
                <c:pt idx="0">
                  <c:v>0.13153385144085269</c:v>
                </c:pt>
                <c:pt idx="1">
                  <c:v>0.1266668648529177</c:v>
                </c:pt>
                <c:pt idx="2">
                  <c:v>0.26569229248445175</c:v>
                </c:pt>
                <c:pt idx="3">
                  <c:v>0.11012006103751457</c:v>
                </c:pt>
                <c:pt idx="4">
                  <c:v>7.850803898380837E-2</c:v>
                </c:pt>
                <c:pt idx="5">
                  <c:v>5.3914422140074539E-2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42-4EDD-B698-825ED83A0284}"/>
            </c:ext>
          </c:extLst>
        </c:ser>
        <c:ser>
          <c:idx val="5"/>
          <c:order val="5"/>
          <c:tx>
            <c:strRef>
              <c:f>'Graf 5 + 6'!$M$13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+ 6'!$Q$13:$V$13</c:f>
              <c:numCache>
                <c:formatCode>0.0</c:formatCode>
                <c:ptCount val="6"/>
                <c:pt idx="0">
                  <c:v>-3.5728510954757917E-2</c:v>
                </c:pt>
                <c:pt idx="1">
                  <c:v>-7.225181372732789E-2</c:v>
                </c:pt>
                <c:pt idx="2">
                  <c:v>-2.002471487057042E-2</c:v>
                </c:pt>
                <c:pt idx="3">
                  <c:v>-4.0060839591732976E-2</c:v>
                </c:pt>
                <c:pt idx="4">
                  <c:v>-2.8372623341906315E-2</c:v>
                </c:pt>
                <c:pt idx="5">
                  <c:v>-2.7846300006459889E-2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F42-4EDD-B698-825ED83A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324192"/>
        <c:axId val="919324584"/>
      </c:barChart>
      <c:lineChart>
        <c:grouping val="standard"/>
        <c:varyColors val="0"/>
        <c:ser>
          <c:idx val="0"/>
          <c:order val="0"/>
          <c:tx>
            <c:strRef>
              <c:f>'Graf 5 + 6'!$M$8</c:f>
              <c:strCache>
                <c:ptCount val="1"/>
                <c:pt idx="0">
                  <c:v>Employment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02681992337162E-2"/>
                  <c:y val="-8.707482993197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130268199233721E-2"/>
                  <c:y val="-3.8095238095238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1940845679504086E-2"/>
                  <c:y val="-6.782856463808523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9339809535302342E-2"/>
                  <c:y val="-5.0871498205581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453092788688771E-2"/>
                  <c:y val="-5.4842144731908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988887883267651E-2"/>
                  <c:y val="-6.23862017247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F42-4EDD-B698-825ED83A028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+ 6'!$Q$8:$V$8</c:f>
              <c:numCache>
                <c:formatCode>0.0</c:formatCode>
                <c:ptCount val="6"/>
                <c:pt idx="0">
                  <c:v>2.3797834852236246</c:v>
                </c:pt>
                <c:pt idx="1">
                  <c:v>2.2062007307902736</c:v>
                </c:pt>
                <c:pt idx="2">
                  <c:v>1.9788488243035269</c:v>
                </c:pt>
                <c:pt idx="3">
                  <c:v>1.1404279318862116</c:v>
                </c:pt>
                <c:pt idx="4">
                  <c:v>0.87120048972815833</c:v>
                </c:pt>
                <c:pt idx="5">
                  <c:v>0.66797109230411889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42-4EDD-B698-825ED83A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24192"/>
        <c:axId val="919324584"/>
      </c:lineChart>
      <c:catAx>
        <c:axId val="919324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919324584"/>
        <c:crosses val="autoZero"/>
        <c:auto val="1"/>
        <c:lblAlgn val="ctr"/>
        <c:lblOffset val="100"/>
        <c:noMultiLvlLbl val="1"/>
      </c:catAx>
      <c:valAx>
        <c:axId val="919324584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19324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425500145815107"/>
          <c:y val="6.3739675721539435E-2"/>
          <c:w val="0.27761609798775155"/>
          <c:h val="0.32505110766416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1"/>
          <c:tx>
            <c:strRef>
              <c:f>'Graf 7 + 8'!$I$9</c:f>
              <c:strCache>
                <c:ptCount val="1"/>
                <c:pt idx="0">
                  <c:v>EUR/GBP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7 + 8'!$J$7:$GR$7</c:f>
              <c:numCache>
                <c:formatCode>m/d/yyyy</c:formatCode>
                <c:ptCount val="191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  <c:pt idx="41">
                  <c:v>42293</c:v>
                </c:pt>
                <c:pt idx="42">
                  <c:v>42300</c:v>
                </c:pt>
                <c:pt idx="43">
                  <c:v>42307</c:v>
                </c:pt>
                <c:pt idx="44">
                  <c:v>42314</c:v>
                </c:pt>
                <c:pt idx="45">
                  <c:v>42321</c:v>
                </c:pt>
                <c:pt idx="46">
                  <c:v>42328</c:v>
                </c:pt>
                <c:pt idx="47">
                  <c:v>42335</c:v>
                </c:pt>
                <c:pt idx="48">
                  <c:v>42342</c:v>
                </c:pt>
                <c:pt idx="49">
                  <c:v>42349</c:v>
                </c:pt>
                <c:pt idx="50">
                  <c:v>42356</c:v>
                </c:pt>
                <c:pt idx="51">
                  <c:v>42363</c:v>
                </c:pt>
                <c:pt idx="52">
                  <c:v>42370</c:v>
                </c:pt>
                <c:pt idx="53">
                  <c:v>42377</c:v>
                </c:pt>
                <c:pt idx="54">
                  <c:v>42384</c:v>
                </c:pt>
                <c:pt idx="55">
                  <c:v>42391</c:v>
                </c:pt>
                <c:pt idx="56">
                  <c:v>42398</c:v>
                </c:pt>
                <c:pt idx="57">
                  <c:v>42405</c:v>
                </c:pt>
                <c:pt idx="58">
                  <c:v>42412</c:v>
                </c:pt>
                <c:pt idx="59">
                  <c:v>42419</c:v>
                </c:pt>
                <c:pt idx="60">
                  <c:v>42426</c:v>
                </c:pt>
                <c:pt idx="61">
                  <c:v>42433</c:v>
                </c:pt>
                <c:pt idx="62">
                  <c:v>42440</c:v>
                </c:pt>
                <c:pt idx="63">
                  <c:v>42447</c:v>
                </c:pt>
                <c:pt idx="64">
                  <c:v>42454</c:v>
                </c:pt>
                <c:pt idx="65">
                  <c:v>42461</c:v>
                </c:pt>
                <c:pt idx="66">
                  <c:v>42468</c:v>
                </c:pt>
                <c:pt idx="67">
                  <c:v>42475</c:v>
                </c:pt>
                <c:pt idx="68">
                  <c:v>42482</c:v>
                </c:pt>
                <c:pt idx="69">
                  <c:v>42489</c:v>
                </c:pt>
                <c:pt idx="70">
                  <c:v>42496</c:v>
                </c:pt>
                <c:pt idx="71">
                  <c:v>42503</c:v>
                </c:pt>
                <c:pt idx="72">
                  <c:v>42510</c:v>
                </c:pt>
                <c:pt idx="73">
                  <c:v>42517</c:v>
                </c:pt>
                <c:pt idx="74">
                  <c:v>42524</c:v>
                </c:pt>
                <c:pt idx="75">
                  <c:v>42531</c:v>
                </c:pt>
                <c:pt idx="76">
                  <c:v>42538</c:v>
                </c:pt>
                <c:pt idx="77">
                  <c:v>42545</c:v>
                </c:pt>
                <c:pt idx="78">
                  <c:v>42552</c:v>
                </c:pt>
                <c:pt idx="79">
                  <c:v>42559</c:v>
                </c:pt>
                <c:pt idx="80">
                  <c:v>42566</c:v>
                </c:pt>
                <c:pt idx="81">
                  <c:v>42573</c:v>
                </c:pt>
                <c:pt idx="82">
                  <c:v>42580</c:v>
                </c:pt>
                <c:pt idx="83">
                  <c:v>42587</c:v>
                </c:pt>
                <c:pt idx="84">
                  <c:v>42594</c:v>
                </c:pt>
                <c:pt idx="85">
                  <c:v>42601</c:v>
                </c:pt>
                <c:pt idx="86">
                  <c:v>42608</c:v>
                </c:pt>
                <c:pt idx="87">
                  <c:v>42615</c:v>
                </c:pt>
                <c:pt idx="88">
                  <c:v>42622</c:v>
                </c:pt>
                <c:pt idx="89">
                  <c:v>42629</c:v>
                </c:pt>
                <c:pt idx="90">
                  <c:v>42636</c:v>
                </c:pt>
                <c:pt idx="91">
                  <c:v>42643</c:v>
                </c:pt>
                <c:pt idx="92">
                  <c:v>42650</c:v>
                </c:pt>
                <c:pt idx="93">
                  <c:v>42657</c:v>
                </c:pt>
                <c:pt idx="94">
                  <c:v>42664</c:v>
                </c:pt>
                <c:pt idx="95">
                  <c:v>42671</c:v>
                </c:pt>
                <c:pt idx="96">
                  <c:v>42678</c:v>
                </c:pt>
                <c:pt idx="97">
                  <c:v>42685</c:v>
                </c:pt>
                <c:pt idx="98">
                  <c:v>42692</c:v>
                </c:pt>
                <c:pt idx="99">
                  <c:v>42699</c:v>
                </c:pt>
                <c:pt idx="100">
                  <c:v>42706</c:v>
                </c:pt>
                <c:pt idx="101">
                  <c:v>42713</c:v>
                </c:pt>
                <c:pt idx="102">
                  <c:v>42720</c:v>
                </c:pt>
                <c:pt idx="103">
                  <c:v>42727</c:v>
                </c:pt>
                <c:pt idx="104">
                  <c:v>42734</c:v>
                </c:pt>
                <c:pt idx="105">
                  <c:v>42741</c:v>
                </c:pt>
                <c:pt idx="106">
                  <c:v>42748</c:v>
                </c:pt>
                <c:pt idx="107">
                  <c:v>42755</c:v>
                </c:pt>
                <c:pt idx="108">
                  <c:v>42762</c:v>
                </c:pt>
                <c:pt idx="109">
                  <c:v>42769</c:v>
                </c:pt>
                <c:pt idx="110">
                  <c:v>42776</c:v>
                </c:pt>
                <c:pt idx="111">
                  <c:v>42783</c:v>
                </c:pt>
                <c:pt idx="112">
                  <c:v>42790</c:v>
                </c:pt>
                <c:pt idx="113">
                  <c:v>42797</c:v>
                </c:pt>
                <c:pt idx="114">
                  <c:v>42804</c:v>
                </c:pt>
                <c:pt idx="115">
                  <c:v>42811</c:v>
                </c:pt>
                <c:pt idx="116">
                  <c:v>42818</c:v>
                </c:pt>
                <c:pt idx="117">
                  <c:v>42825</c:v>
                </c:pt>
                <c:pt idx="118">
                  <c:v>42832</c:v>
                </c:pt>
                <c:pt idx="119">
                  <c:v>42839</c:v>
                </c:pt>
                <c:pt idx="120">
                  <c:v>42846</c:v>
                </c:pt>
                <c:pt idx="121">
                  <c:v>42853</c:v>
                </c:pt>
                <c:pt idx="122">
                  <c:v>42860</c:v>
                </c:pt>
                <c:pt idx="123">
                  <c:v>42867</c:v>
                </c:pt>
                <c:pt idx="124">
                  <c:v>42874</c:v>
                </c:pt>
                <c:pt idx="125">
                  <c:v>42881</c:v>
                </c:pt>
                <c:pt idx="126">
                  <c:v>42888</c:v>
                </c:pt>
                <c:pt idx="127">
                  <c:v>42895</c:v>
                </c:pt>
                <c:pt idx="128">
                  <c:v>42902</c:v>
                </c:pt>
                <c:pt idx="129">
                  <c:v>42909</c:v>
                </c:pt>
                <c:pt idx="130">
                  <c:v>42916</c:v>
                </c:pt>
                <c:pt idx="131">
                  <c:v>42923</c:v>
                </c:pt>
                <c:pt idx="132">
                  <c:v>42930</c:v>
                </c:pt>
                <c:pt idx="133">
                  <c:v>42937</c:v>
                </c:pt>
                <c:pt idx="134">
                  <c:v>42944</c:v>
                </c:pt>
                <c:pt idx="135">
                  <c:v>42951</c:v>
                </c:pt>
                <c:pt idx="136">
                  <c:v>42958</c:v>
                </c:pt>
                <c:pt idx="137">
                  <c:v>42965</c:v>
                </c:pt>
                <c:pt idx="138">
                  <c:v>42972</c:v>
                </c:pt>
                <c:pt idx="139">
                  <c:v>42979</c:v>
                </c:pt>
                <c:pt idx="140">
                  <c:v>42986</c:v>
                </c:pt>
                <c:pt idx="141">
                  <c:v>42993</c:v>
                </c:pt>
                <c:pt idx="142">
                  <c:v>43000</c:v>
                </c:pt>
                <c:pt idx="143">
                  <c:v>43007</c:v>
                </c:pt>
                <c:pt idx="144">
                  <c:v>43014</c:v>
                </c:pt>
                <c:pt idx="145">
                  <c:v>43021</c:v>
                </c:pt>
                <c:pt idx="146">
                  <c:v>43028</c:v>
                </c:pt>
                <c:pt idx="147">
                  <c:v>43035</c:v>
                </c:pt>
                <c:pt idx="148">
                  <c:v>43042</c:v>
                </c:pt>
                <c:pt idx="149">
                  <c:v>43049</c:v>
                </c:pt>
                <c:pt idx="150">
                  <c:v>43056</c:v>
                </c:pt>
                <c:pt idx="151">
                  <c:v>43063</c:v>
                </c:pt>
                <c:pt idx="152">
                  <c:v>43070</c:v>
                </c:pt>
                <c:pt idx="153">
                  <c:v>43077</c:v>
                </c:pt>
                <c:pt idx="154">
                  <c:v>43084</c:v>
                </c:pt>
                <c:pt idx="155">
                  <c:v>43091</c:v>
                </c:pt>
                <c:pt idx="156">
                  <c:v>43098</c:v>
                </c:pt>
                <c:pt idx="157">
                  <c:v>43105</c:v>
                </c:pt>
                <c:pt idx="158">
                  <c:v>43112</c:v>
                </c:pt>
                <c:pt idx="159">
                  <c:v>43119</c:v>
                </c:pt>
                <c:pt idx="160">
                  <c:v>43126</c:v>
                </c:pt>
                <c:pt idx="161">
                  <c:v>43133</c:v>
                </c:pt>
                <c:pt idx="162">
                  <c:v>43140</c:v>
                </c:pt>
                <c:pt idx="163">
                  <c:v>43147</c:v>
                </c:pt>
                <c:pt idx="164">
                  <c:v>43154</c:v>
                </c:pt>
                <c:pt idx="165">
                  <c:v>43161</c:v>
                </c:pt>
                <c:pt idx="166">
                  <c:v>43168</c:v>
                </c:pt>
                <c:pt idx="167">
                  <c:v>43175</c:v>
                </c:pt>
                <c:pt idx="168">
                  <c:v>43182</c:v>
                </c:pt>
                <c:pt idx="169">
                  <c:v>43189</c:v>
                </c:pt>
                <c:pt idx="170">
                  <c:v>43196</c:v>
                </c:pt>
                <c:pt idx="171">
                  <c:v>43203</c:v>
                </c:pt>
                <c:pt idx="172">
                  <c:v>43210</c:v>
                </c:pt>
                <c:pt idx="173">
                  <c:v>43217</c:v>
                </c:pt>
                <c:pt idx="174">
                  <c:v>43224</c:v>
                </c:pt>
                <c:pt idx="175">
                  <c:v>43231</c:v>
                </c:pt>
                <c:pt idx="176">
                  <c:v>43238</c:v>
                </c:pt>
                <c:pt idx="177">
                  <c:v>43245</c:v>
                </c:pt>
                <c:pt idx="178">
                  <c:v>43252</c:v>
                </c:pt>
                <c:pt idx="179">
                  <c:v>43259</c:v>
                </c:pt>
                <c:pt idx="180">
                  <c:v>43266</c:v>
                </c:pt>
                <c:pt idx="181">
                  <c:v>43273</c:v>
                </c:pt>
                <c:pt idx="182">
                  <c:v>43280</c:v>
                </c:pt>
                <c:pt idx="183">
                  <c:v>43287</c:v>
                </c:pt>
                <c:pt idx="184">
                  <c:v>43294</c:v>
                </c:pt>
                <c:pt idx="185">
                  <c:v>43301</c:v>
                </c:pt>
                <c:pt idx="186">
                  <c:v>43308</c:v>
                </c:pt>
                <c:pt idx="187">
                  <c:v>43315</c:v>
                </c:pt>
                <c:pt idx="188">
                  <c:v>43322</c:v>
                </c:pt>
                <c:pt idx="189">
                  <c:v>43329</c:v>
                </c:pt>
                <c:pt idx="190">
                  <c:v>43336</c:v>
                </c:pt>
              </c:numCache>
            </c:numRef>
          </c:cat>
          <c:val>
            <c:numRef>
              <c:f>'Graf 7 + 8'!$J$9:$GR$9</c:f>
              <c:numCache>
                <c:formatCode>0.0</c:formatCode>
                <c:ptCount val="191"/>
                <c:pt idx="0">
                  <c:v>0.78302000000000005</c:v>
                </c:pt>
                <c:pt idx="1">
                  <c:v>0.78110000000000002</c:v>
                </c:pt>
                <c:pt idx="2">
                  <c:v>0.76361999999999997</c:v>
                </c:pt>
                <c:pt idx="3">
                  <c:v>0.74765999999999999</c:v>
                </c:pt>
                <c:pt idx="4">
                  <c:v>0.74955000000000005</c:v>
                </c:pt>
                <c:pt idx="5">
                  <c:v>0.74231000000000003</c:v>
                </c:pt>
                <c:pt idx="6">
                  <c:v>0.73985999999999996</c:v>
                </c:pt>
                <c:pt idx="7">
                  <c:v>0.73895999999999995</c:v>
                </c:pt>
                <c:pt idx="8">
                  <c:v>0.72536</c:v>
                </c:pt>
                <c:pt idx="9">
                  <c:v>0.72085999999999995</c:v>
                </c:pt>
                <c:pt idx="10">
                  <c:v>0.71189000000000002</c:v>
                </c:pt>
                <c:pt idx="11">
                  <c:v>0.72358999999999996</c:v>
                </c:pt>
                <c:pt idx="12">
                  <c:v>0.73209999999999997</c:v>
                </c:pt>
                <c:pt idx="13">
                  <c:v>0.73545000000000005</c:v>
                </c:pt>
                <c:pt idx="14">
                  <c:v>0.72457000000000005</c:v>
                </c:pt>
                <c:pt idx="15">
                  <c:v>0.72214999999999996</c:v>
                </c:pt>
                <c:pt idx="16">
                  <c:v>0.71599999999999997</c:v>
                </c:pt>
                <c:pt idx="17">
                  <c:v>0.73929</c:v>
                </c:pt>
                <c:pt idx="18">
                  <c:v>0.72511999999999999</c:v>
                </c:pt>
                <c:pt idx="19">
                  <c:v>0.72789999999999999</c:v>
                </c:pt>
                <c:pt idx="20">
                  <c:v>0.71111000000000002</c:v>
                </c:pt>
                <c:pt idx="21">
                  <c:v>0.71862999999999999</c:v>
                </c:pt>
                <c:pt idx="22">
                  <c:v>0.72780999999999996</c:v>
                </c:pt>
                <c:pt idx="23">
                  <c:v>0.72404999999999997</c:v>
                </c:pt>
                <c:pt idx="24">
                  <c:v>0.71482999999999997</c:v>
                </c:pt>
                <c:pt idx="25">
                  <c:v>0.70923999999999998</c:v>
                </c:pt>
                <c:pt idx="26">
                  <c:v>0.71382000000000001</c:v>
                </c:pt>
                <c:pt idx="27">
                  <c:v>0.71924999999999994</c:v>
                </c:pt>
                <c:pt idx="28">
                  <c:v>0.69445999999999997</c:v>
                </c:pt>
                <c:pt idx="29">
                  <c:v>0.70804999999999996</c:v>
                </c:pt>
                <c:pt idx="30">
                  <c:v>0.70309999999999995</c:v>
                </c:pt>
                <c:pt idx="31">
                  <c:v>0.70762999999999998</c:v>
                </c:pt>
                <c:pt idx="32">
                  <c:v>0.71033000000000002</c:v>
                </c:pt>
                <c:pt idx="33">
                  <c:v>0.72545000000000004</c:v>
                </c:pt>
                <c:pt idx="34">
                  <c:v>0.72677999999999998</c:v>
                </c:pt>
                <c:pt idx="35">
                  <c:v>0.73460999999999999</c:v>
                </c:pt>
                <c:pt idx="36">
                  <c:v>0.73497999999999997</c:v>
                </c:pt>
                <c:pt idx="37">
                  <c:v>0.72707999999999995</c:v>
                </c:pt>
                <c:pt idx="38">
                  <c:v>0.73799000000000003</c:v>
                </c:pt>
                <c:pt idx="39">
                  <c:v>0.73821000000000003</c:v>
                </c:pt>
                <c:pt idx="40">
                  <c:v>0.74158999999999997</c:v>
                </c:pt>
                <c:pt idx="41">
                  <c:v>0.73509999999999998</c:v>
                </c:pt>
                <c:pt idx="42">
                  <c:v>0.71943999999999997</c:v>
                </c:pt>
                <c:pt idx="43">
                  <c:v>0.71328000000000003</c:v>
                </c:pt>
                <c:pt idx="44">
                  <c:v>0.71369000000000005</c:v>
                </c:pt>
                <c:pt idx="45">
                  <c:v>0.70659000000000005</c:v>
                </c:pt>
                <c:pt idx="46">
                  <c:v>0.70091999999999999</c:v>
                </c:pt>
                <c:pt idx="47">
                  <c:v>0.70464000000000004</c:v>
                </c:pt>
                <c:pt idx="48">
                  <c:v>0.71986000000000006</c:v>
                </c:pt>
                <c:pt idx="49">
                  <c:v>0.72243000000000002</c:v>
                </c:pt>
                <c:pt idx="50">
                  <c:v>0.72946</c:v>
                </c:pt>
                <c:pt idx="51">
                  <c:v>0.73299999999999998</c:v>
                </c:pt>
                <c:pt idx="52">
                  <c:v>0.73750000000000004</c:v>
                </c:pt>
                <c:pt idx="53">
                  <c:v>0.75261999999999996</c:v>
                </c:pt>
                <c:pt idx="54">
                  <c:v>0.76561000000000001</c:v>
                </c:pt>
                <c:pt idx="55">
                  <c:v>0.75707999999999998</c:v>
                </c:pt>
                <c:pt idx="56">
                  <c:v>0.76082000000000005</c:v>
                </c:pt>
                <c:pt idx="57">
                  <c:v>0.76895000000000002</c:v>
                </c:pt>
                <c:pt idx="58">
                  <c:v>0.77615000000000001</c:v>
                </c:pt>
                <c:pt idx="59">
                  <c:v>0.77285999999999999</c:v>
                </c:pt>
                <c:pt idx="60">
                  <c:v>0.78817000000000004</c:v>
                </c:pt>
                <c:pt idx="61">
                  <c:v>0.77319000000000004</c:v>
                </c:pt>
                <c:pt idx="62">
                  <c:v>0.77531000000000005</c:v>
                </c:pt>
                <c:pt idx="63">
                  <c:v>0.77836000000000005</c:v>
                </c:pt>
                <c:pt idx="64">
                  <c:v>0.79049000000000003</c:v>
                </c:pt>
                <c:pt idx="65">
                  <c:v>0.80078000000000005</c:v>
                </c:pt>
                <c:pt idx="66">
                  <c:v>0.80674000000000001</c:v>
                </c:pt>
                <c:pt idx="67">
                  <c:v>0.79440999999999995</c:v>
                </c:pt>
                <c:pt idx="68">
                  <c:v>0.77876999999999996</c:v>
                </c:pt>
                <c:pt idx="69">
                  <c:v>0.78364999999999996</c:v>
                </c:pt>
                <c:pt idx="70">
                  <c:v>0.79059000000000001</c:v>
                </c:pt>
                <c:pt idx="71">
                  <c:v>0.78739999999999999</c:v>
                </c:pt>
                <c:pt idx="72">
                  <c:v>0.77358000000000005</c:v>
                </c:pt>
                <c:pt idx="73">
                  <c:v>0.76015999999999995</c:v>
                </c:pt>
                <c:pt idx="74">
                  <c:v>0.78290999999999999</c:v>
                </c:pt>
                <c:pt idx="75">
                  <c:v>0.78903999999999996</c:v>
                </c:pt>
                <c:pt idx="76">
                  <c:v>0.78535999999999995</c:v>
                </c:pt>
                <c:pt idx="77">
                  <c:v>0.81274000000000002</c:v>
                </c:pt>
                <c:pt idx="78">
                  <c:v>0.83869000000000005</c:v>
                </c:pt>
                <c:pt idx="79">
                  <c:v>0.85245000000000004</c:v>
                </c:pt>
                <c:pt idx="80">
                  <c:v>0.83660999999999996</c:v>
                </c:pt>
                <c:pt idx="81">
                  <c:v>0.83720000000000006</c:v>
                </c:pt>
                <c:pt idx="82">
                  <c:v>0.84462000000000004</c:v>
                </c:pt>
                <c:pt idx="83">
                  <c:v>0.84835000000000005</c:v>
                </c:pt>
                <c:pt idx="84">
                  <c:v>0.86399999999999999</c:v>
                </c:pt>
                <c:pt idx="85">
                  <c:v>0.86648000000000003</c:v>
                </c:pt>
                <c:pt idx="86">
                  <c:v>0.85246</c:v>
                </c:pt>
                <c:pt idx="87">
                  <c:v>0.83931</c:v>
                </c:pt>
                <c:pt idx="88">
                  <c:v>0.84667999999999999</c:v>
                </c:pt>
                <c:pt idx="89">
                  <c:v>0.85790999999999995</c:v>
                </c:pt>
                <c:pt idx="90">
                  <c:v>0.86592999999999998</c:v>
                </c:pt>
                <c:pt idx="91">
                  <c:v>0.86607999999999996</c:v>
                </c:pt>
                <c:pt idx="92">
                  <c:v>0.90005000000000002</c:v>
                </c:pt>
                <c:pt idx="93">
                  <c:v>0.90036000000000005</c:v>
                </c:pt>
                <c:pt idx="94">
                  <c:v>0.89002000000000003</c:v>
                </c:pt>
                <c:pt idx="95">
                  <c:v>0.90042999999999995</c:v>
                </c:pt>
                <c:pt idx="96">
                  <c:v>0.89000999999999997</c:v>
                </c:pt>
                <c:pt idx="97">
                  <c:v>0.86246</c:v>
                </c:pt>
                <c:pt idx="98">
                  <c:v>0.85780000000000001</c:v>
                </c:pt>
                <c:pt idx="99">
                  <c:v>0.84965999999999997</c:v>
                </c:pt>
                <c:pt idx="100">
                  <c:v>0.83894999999999997</c:v>
                </c:pt>
                <c:pt idx="101">
                  <c:v>0.83880999999999994</c:v>
                </c:pt>
                <c:pt idx="102">
                  <c:v>0.83738000000000001</c:v>
                </c:pt>
                <c:pt idx="103">
                  <c:v>0.85170999999999997</c:v>
                </c:pt>
                <c:pt idx="104">
                  <c:v>0.85351999999999995</c:v>
                </c:pt>
                <c:pt idx="105">
                  <c:v>0.85734999999999995</c:v>
                </c:pt>
                <c:pt idx="106">
                  <c:v>0.87165000000000004</c:v>
                </c:pt>
                <c:pt idx="107">
                  <c:v>0.86516999999999999</c:v>
                </c:pt>
                <c:pt idx="108">
                  <c:v>0.85258999999999996</c:v>
                </c:pt>
                <c:pt idx="109">
                  <c:v>0.86399999999999999</c:v>
                </c:pt>
                <c:pt idx="110">
                  <c:v>0.85126000000000002</c:v>
                </c:pt>
                <c:pt idx="111">
                  <c:v>0.85609000000000002</c:v>
                </c:pt>
                <c:pt idx="112">
                  <c:v>0.84769000000000005</c:v>
                </c:pt>
                <c:pt idx="113">
                  <c:v>0.86317999999999995</c:v>
                </c:pt>
                <c:pt idx="114">
                  <c:v>0.87760000000000005</c:v>
                </c:pt>
                <c:pt idx="115">
                  <c:v>0.86624999999999996</c:v>
                </c:pt>
                <c:pt idx="116">
                  <c:v>0.86565000000000003</c:v>
                </c:pt>
                <c:pt idx="117">
                  <c:v>0.84852000000000005</c:v>
                </c:pt>
                <c:pt idx="118">
                  <c:v>0.85553000000000001</c:v>
                </c:pt>
                <c:pt idx="119">
                  <c:v>0.84784000000000004</c:v>
                </c:pt>
                <c:pt idx="120">
                  <c:v>0.83782999999999996</c:v>
                </c:pt>
                <c:pt idx="121">
                  <c:v>0.84133999999999998</c:v>
                </c:pt>
                <c:pt idx="122">
                  <c:v>0.84733000000000003</c:v>
                </c:pt>
                <c:pt idx="123">
                  <c:v>0.84762999999999999</c:v>
                </c:pt>
                <c:pt idx="124">
                  <c:v>0.85963000000000001</c:v>
                </c:pt>
                <c:pt idx="125">
                  <c:v>0.87309999999999999</c:v>
                </c:pt>
                <c:pt idx="126">
                  <c:v>0.87558000000000002</c:v>
                </c:pt>
                <c:pt idx="127">
                  <c:v>0.87817999999999996</c:v>
                </c:pt>
                <c:pt idx="128">
                  <c:v>0.87595000000000001</c:v>
                </c:pt>
                <c:pt idx="129">
                  <c:v>0.87990000000000002</c:v>
                </c:pt>
                <c:pt idx="130">
                  <c:v>0.87709999999999999</c:v>
                </c:pt>
                <c:pt idx="131">
                  <c:v>0.88461000000000001</c:v>
                </c:pt>
                <c:pt idx="132">
                  <c:v>0.87539999999999996</c:v>
                </c:pt>
                <c:pt idx="133">
                  <c:v>0.89739000000000002</c:v>
                </c:pt>
                <c:pt idx="134">
                  <c:v>0.89464999999999995</c:v>
                </c:pt>
                <c:pt idx="135">
                  <c:v>0.90269999999999995</c:v>
                </c:pt>
                <c:pt idx="136">
                  <c:v>0.90849000000000002</c:v>
                </c:pt>
                <c:pt idx="137">
                  <c:v>0.91347999999999996</c:v>
                </c:pt>
                <c:pt idx="138">
                  <c:v>0.92547999999999997</c:v>
                </c:pt>
                <c:pt idx="139">
                  <c:v>0.91586999999999996</c:v>
                </c:pt>
                <c:pt idx="140">
                  <c:v>0.91188999999999998</c:v>
                </c:pt>
                <c:pt idx="141">
                  <c:v>0.87888999999999995</c:v>
                </c:pt>
                <c:pt idx="142">
                  <c:v>0.88500000000000001</c:v>
                </c:pt>
                <c:pt idx="143">
                  <c:v>0.88200000000000001</c:v>
                </c:pt>
                <c:pt idx="144">
                  <c:v>0.89814000000000005</c:v>
                </c:pt>
                <c:pt idx="145">
                  <c:v>0.88976999999999995</c:v>
                </c:pt>
                <c:pt idx="146">
                  <c:v>0.89312000000000002</c:v>
                </c:pt>
                <c:pt idx="147">
                  <c:v>0.88417999999999997</c:v>
                </c:pt>
                <c:pt idx="148">
                  <c:v>0.88771</c:v>
                </c:pt>
                <c:pt idx="149">
                  <c:v>0.88414000000000004</c:v>
                </c:pt>
                <c:pt idx="150">
                  <c:v>0.89227000000000001</c:v>
                </c:pt>
                <c:pt idx="151">
                  <c:v>0.89473000000000003</c:v>
                </c:pt>
                <c:pt idx="152">
                  <c:v>0.88290000000000002</c:v>
                </c:pt>
                <c:pt idx="153">
                  <c:v>0.87916000000000005</c:v>
                </c:pt>
                <c:pt idx="154">
                  <c:v>0.88207999999999998</c:v>
                </c:pt>
                <c:pt idx="155">
                  <c:v>0.88793</c:v>
                </c:pt>
                <c:pt idx="156">
                  <c:v>0.88809000000000005</c:v>
                </c:pt>
                <c:pt idx="157">
                  <c:v>0.88644000000000001</c:v>
                </c:pt>
                <c:pt idx="158">
                  <c:v>0.88885999999999998</c:v>
                </c:pt>
                <c:pt idx="159">
                  <c:v>0.88175000000000003</c:v>
                </c:pt>
                <c:pt idx="160">
                  <c:v>0.87805</c:v>
                </c:pt>
                <c:pt idx="161">
                  <c:v>0.88224999999999998</c:v>
                </c:pt>
                <c:pt idx="162">
                  <c:v>0.88639000000000001</c:v>
                </c:pt>
                <c:pt idx="163">
                  <c:v>0.88400999999999996</c:v>
                </c:pt>
                <c:pt idx="164">
                  <c:v>0.88046000000000002</c:v>
                </c:pt>
                <c:pt idx="165">
                  <c:v>0.89266000000000001</c:v>
                </c:pt>
                <c:pt idx="166">
                  <c:v>0.88858000000000004</c:v>
                </c:pt>
                <c:pt idx="167">
                  <c:v>0.88165000000000004</c:v>
                </c:pt>
                <c:pt idx="168">
                  <c:v>0.87419999999999998</c:v>
                </c:pt>
                <c:pt idx="169">
                  <c:v>0.87909000000000004</c:v>
                </c:pt>
                <c:pt idx="170">
                  <c:v>0.87143999999999999</c:v>
                </c:pt>
                <c:pt idx="171">
                  <c:v>0.86614999999999998</c:v>
                </c:pt>
                <c:pt idx="172">
                  <c:v>0.87756000000000001</c:v>
                </c:pt>
                <c:pt idx="173">
                  <c:v>0.87988999999999995</c:v>
                </c:pt>
                <c:pt idx="174">
                  <c:v>0.88409000000000004</c:v>
                </c:pt>
                <c:pt idx="175">
                  <c:v>0.88183999999999996</c:v>
                </c:pt>
                <c:pt idx="176">
                  <c:v>0.87390999999999996</c:v>
                </c:pt>
                <c:pt idx="177">
                  <c:v>0.87551999999999996</c:v>
                </c:pt>
                <c:pt idx="178">
                  <c:v>0.87372000000000005</c:v>
                </c:pt>
                <c:pt idx="179">
                  <c:v>0.87773000000000001</c:v>
                </c:pt>
                <c:pt idx="180">
                  <c:v>0.874</c:v>
                </c:pt>
                <c:pt idx="181">
                  <c:v>0.87878000000000001</c:v>
                </c:pt>
                <c:pt idx="182">
                  <c:v>0.88473000000000002</c:v>
                </c:pt>
                <c:pt idx="183">
                  <c:v>0.88429999999999997</c:v>
                </c:pt>
                <c:pt idx="184">
                  <c:v>0.88339000000000001</c:v>
                </c:pt>
                <c:pt idx="185">
                  <c:v>0.89251999999999998</c:v>
                </c:pt>
                <c:pt idx="186">
                  <c:v>0.88915999999999995</c:v>
                </c:pt>
                <c:pt idx="187">
                  <c:v>0.88980999999999999</c:v>
                </c:pt>
                <c:pt idx="188">
                  <c:v>0.89354999999999996</c:v>
                </c:pt>
                <c:pt idx="189">
                  <c:v>0.89720999999999995</c:v>
                </c:pt>
                <c:pt idx="190">
                  <c:v>0.90447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4-42D7-8A19-42B751AEC0BB}"/>
            </c:ext>
          </c:extLst>
        </c:ser>
        <c:ser>
          <c:idx val="4"/>
          <c:order val="2"/>
          <c:tx>
            <c:strRef>
              <c:f>'Graf 7 + 8'!$I$10</c:f>
              <c:strCache>
                <c:ptCount val="1"/>
                <c:pt idx="0">
                  <c:v>EUR/USD</c:v>
                </c:pt>
              </c:strCache>
            </c:strRef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'Graf 7 + 8'!$J$7:$GR$7</c:f>
              <c:numCache>
                <c:formatCode>m/d/yyyy</c:formatCode>
                <c:ptCount val="191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  <c:pt idx="41">
                  <c:v>42293</c:v>
                </c:pt>
                <c:pt idx="42">
                  <c:v>42300</c:v>
                </c:pt>
                <c:pt idx="43">
                  <c:v>42307</c:v>
                </c:pt>
                <c:pt idx="44">
                  <c:v>42314</c:v>
                </c:pt>
                <c:pt idx="45">
                  <c:v>42321</c:v>
                </c:pt>
                <c:pt idx="46">
                  <c:v>42328</c:v>
                </c:pt>
                <c:pt idx="47">
                  <c:v>42335</c:v>
                </c:pt>
                <c:pt idx="48">
                  <c:v>42342</c:v>
                </c:pt>
                <c:pt idx="49">
                  <c:v>42349</c:v>
                </c:pt>
                <c:pt idx="50">
                  <c:v>42356</c:v>
                </c:pt>
                <c:pt idx="51">
                  <c:v>42363</c:v>
                </c:pt>
                <c:pt idx="52">
                  <c:v>42370</c:v>
                </c:pt>
                <c:pt idx="53">
                  <c:v>42377</c:v>
                </c:pt>
                <c:pt idx="54">
                  <c:v>42384</c:v>
                </c:pt>
                <c:pt idx="55">
                  <c:v>42391</c:v>
                </c:pt>
                <c:pt idx="56">
                  <c:v>42398</c:v>
                </c:pt>
                <c:pt idx="57">
                  <c:v>42405</c:v>
                </c:pt>
                <c:pt idx="58">
                  <c:v>42412</c:v>
                </c:pt>
                <c:pt idx="59">
                  <c:v>42419</c:v>
                </c:pt>
                <c:pt idx="60">
                  <c:v>42426</c:v>
                </c:pt>
                <c:pt idx="61">
                  <c:v>42433</c:v>
                </c:pt>
                <c:pt idx="62">
                  <c:v>42440</c:v>
                </c:pt>
                <c:pt idx="63">
                  <c:v>42447</c:v>
                </c:pt>
                <c:pt idx="64">
                  <c:v>42454</c:v>
                </c:pt>
                <c:pt idx="65">
                  <c:v>42461</c:v>
                </c:pt>
                <c:pt idx="66">
                  <c:v>42468</c:v>
                </c:pt>
                <c:pt idx="67">
                  <c:v>42475</c:v>
                </c:pt>
                <c:pt idx="68">
                  <c:v>42482</c:v>
                </c:pt>
                <c:pt idx="69">
                  <c:v>42489</c:v>
                </c:pt>
                <c:pt idx="70">
                  <c:v>42496</c:v>
                </c:pt>
                <c:pt idx="71">
                  <c:v>42503</c:v>
                </c:pt>
                <c:pt idx="72">
                  <c:v>42510</c:v>
                </c:pt>
                <c:pt idx="73">
                  <c:v>42517</c:v>
                </c:pt>
                <c:pt idx="74">
                  <c:v>42524</c:v>
                </c:pt>
                <c:pt idx="75">
                  <c:v>42531</c:v>
                </c:pt>
                <c:pt idx="76">
                  <c:v>42538</c:v>
                </c:pt>
                <c:pt idx="77">
                  <c:v>42545</c:v>
                </c:pt>
                <c:pt idx="78">
                  <c:v>42552</c:v>
                </c:pt>
                <c:pt idx="79">
                  <c:v>42559</c:v>
                </c:pt>
                <c:pt idx="80">
                  <c:v>42566</c:v>
                </c:pt>
                <c:pt idx="81">
                  <c:v>42573</c:v>
                </c:pt>
                <c:pt idx="82">
                  <c:v>42580</c:v>
                </c:pt>
                <c:pt idx="83">
                  <c:v>42587</c:v>
                </c:pt>
                <c:pt idx="84">
                  <c:v>42594</c:v>
                </c:pt>
                <c:pt idx="85">
                  <c:v>42601</c:v>
                </c:pt>
                <c:pt idx="86">
                  <c:v>42608</c:v>
                </c:pt>
                <c:pt idx="87">
                  <c:v>42615</c:v>
                </c:pt>
                <c:pt idx="88">
                  <c:v>42622</c:v>
                </c:pt>
                <c:pt idx="89">
                  <c:v>42629</c:v>
                </c:pt>
                <c:pt idx="90">
                  <c:v>42636</c:v>
                </c:pt>
                <c:pt idx="91">
                  <c:v>42643</c:v>
                </c:pt>
                <c:pt idx="92">
                  <c:v>42650</c:v>
                </c:pt>
                <c:pt idx="93">
                  <c:v>42657</c:v>
                </c:pt>
                <c:pt idx="94">
                  <c:v>42664</c:v>
                </c:pt>
                <c:pt idx="95">
                  <c:v>42671</c:v>
                </c:pt>
                <c:pt idx="96">
                  <c:v>42678</c:v>
                </c:pt>
                <c:pt idx="97">
                  <c:v>42685</c:v>
                </c:pt>
                <c:pt idx="98">
                  <c:v>42692</c:v>
                </c:pt>
                <c:pt idx="99">
                  <c:v>42699</c:v>
                </c:pt>
                <c:pt idx="100">
                  <c:v>42706</c:v>
                </c:pt>
                <c:pt idx="101">
                  <c:v>42713</c:v>
                </c:pt>
                <c:pt idx="102">
                  <c:v>42720</c:v>
                </c:pt>
                <c:pt idx="103">
                  <c:v>42727</c:v>
                </c:pt>
                <c:pt idx="104">
                  <c:v>42734</c:v>
                </c:pt>
                <c:pt idx="105">
                  <c:v>42741</c:v>
                </c:pt>
                <c:pt idx="106">
                  <c:v>42748</c:v>
                </c:pt>
                <c:pt idx="107">
                  <c:v>42755</c:v>
                </c:pt>
                <c:pt idx="108">
                  <c:v>42762</c:v>
                </c:pt>
                <c:pt idx="109">
                  <c:v>42769</c:v>
                </c:pt>
                <c:pt idx="110">
                  <c:v>42776</c:v>
                </c:pt>
                <c:pt idx="111">
                  <c:v>42783</c:v>
                </c:pt>
                <c:pt idx="112">
                  <c:v>42790</c:v>
                </c:pt>
                <c:pt idx="113">
                  <c:v>42797</c:v>
                </c:pt>
                <c:pt idx="114">
                  <c:v>42804</c:v>
                </c:pt>
                <c:pt idx="115">
                  <c:v>42811</c:v>
                </c:pt>
                <c:pt idx="116">
                  <c:v>42818</c:v>
                </c:pt>
                <c:pt idx="117">
                  <c:v>42825</c:v>
                </c:pt>
                <c:pt idx="118">
                  <c:v>42832</c:v>
                </c:pt>
                <c:pt idx="119">
                  <c:v>42839</c:v>
                </c:pt>
                <c:pt idx="120">
                  <c:v>42846</c:v>
                </c:pt>
                <c:pt idx="121">
                  <c:v>42853</c:v>
                </c:pt>
                <c:pt idx="122">
                  <c:v>42860</c:v>
                </c:pt>
                <c:pt idx="123">
                  <c:v>42867</c:v>
                </c:pt>
                <c:pt idx="124">
                  <c:v>42874</c:v>
                </c:pt>
                <c:pt idx="125">
                  <c:v>42881</c:v>
                </c:pt>
                <c:pt idx="126">
                  <c:v>42888</c:v>
                </c:pt>
                <c:pt idx="127">
                  <c:v>42895</c:v>
                </c:pt>
                <c:pt idx="128">
                  <c:v>42902</c:v>
                </c:pt>
                <c:pt idx="129">
                  <c:v>42909</c:v>
                </c:pt>
                <c:pt idx="130">
                  <c:v>42916</c:v>
                </c:pt>
                <c:pt idx="131">
                  <c:v>42923</c:v>
                </c:pt>
                <c:pt idx="132">
                  <c:v>42930</c:v>
                </c:pt>
                <c:pt idx="133">
                  <c:v>42937</c:v>
                </c:pt>
                <c:pt idx="134">
                  <c:v>42944</c:v>
                </c:pt>
                <c:pt idx="135">
                  <c:v>42951</c:v>
                </c:pt>
                <c:pt idx="136">
                  <c:v>42958</c:v>
                </c:pt>
                <c:pt idx="137">
                  <c:v>42965</c:v>
                </c:pt>
                <c:pt idx="138">
                  <c:v>42972</c:v>
                </c:pt>
                <c:pt idx="139">
                  <c:v>42979</c:v>
                </c:pt>
                <c:pt idx="140">
                  <c:v>42986</c:v>
                </c:pt>
                <c:pt idx="141">
                  <c:v>42993</c:v>
                </c:pt>
                <c:pt idx="142">
                  <c:v>43000</c:v>
                </c:pt>
                <c:pt idx="143">
                  <c:v>43007</c:v>
                </c:pt>
                <c:pt idx="144">
                  <c:v>43014</c:v>
                </c:pt>
                <c:pt idx="145">
                  <c:v>43021</c:v>
                </c:pt>
                <c:pt idx="146">
                  <c:v>43028</c:v>
                </c:pt>
                <c:pt idx="147">
                  <c:v>43035</c:v>
                </c:pt>
                <c:pt idx="148">
                  <c:v>43042</c:v>
                </c:pt>
                <c:pt idx="149">
                  <c:v>43049</c:v>
                </c:pt>
                <c:pt idx="150">
                  <c:v>43056</c:v>
                </c:pt>
                <c:pt idx="151">
                  <c:v>43063</c:v>
                </c:pt>
                <c:pt idx="152">
                  <c:v>43070</c:v>
                </c:pt>
                <c:pt idx="153">
                  <c:v>43077</c:v>
                </c:pt>
                <c:pt idx="154">
                  <c:v>43084</c:v>
                </c:pt>
                <c:pt idx="155">
                  <c:v>43091</c:v>
                </c:pt>
                <c:pt idx="156">
                  <c:v>43098</c:v>
                </c:pt>
                <c:pt idx="157">
                  <c:v>43105</c:v>
                </c:pt>
                <c:pt idx="158">
                  <c:v>43112</c:v>
                </c:pt>
                <c:pt idx="159">
                  <c:v>43119</c:v>
                </c:pt>
                <c:pt idx="160">
                  <c:v>43126</c:v>
                </c:pt>
                <c:pt idx="161">
                  <c:v>43133</c:v>
                </c:pt>
                <c:pt idx="162">
                  <c:v>43140</c:v>
                </c:pt>
                <c:pt idx="163">
                  <c:v>43147</c:v>
                </c:pt>
                <c:pt idx="164">
                  <c:v>43154</c:v>
                </c:pt>
                <c:pt idx="165">
                  <c:v>43161</c:v>
                </c:pt>
                <c:pt idx="166">
                  <c:v>43168</c:v>
                </c:pt>
                <c:pt idx="167">
                  <c:v>43175</c:v>
                </c:pt>
                <c:pt idx="168">
                  <c:v>43182</c:v>
                </c:pt>
                <c:pt idx="169">
                  <c:v>43189</c:v>
                </c:pt>
                <c:pt idx="170">
                  <c:v>43196</c:v>
                </c:pt>
                <c:pt idx="171">
                  <c:v>43203</c:v>
                </c:pt>
                <c:pt idx="172">
                  <c:v>43210</c:v>
                </c:pt>
                <c:pt idx="173">
                  <c:v>43217</c:v>
                </c:pt>
                <c:pt idx="174">
                  <c:v>43224</c:v>
                </c:pt>
                <c:pt idx="175">
                  <c:v>43231</c:v>
                </c:pt>
                <c:pt idx="176">
                  <c:v>43238</c:v>
                </c:pt>
                <c:pt idx="177">
                  <c:v>43245</c:v>
                </c:pt>
                <c:pt idx="178">
                  <c:v>43252</c:v>
                </c:pt>
                <c:pt idx="179">
                  <c:v>43259</c:v>
                </c:pt>
                <c:pt idx="180">
                  <c:v>43266</c:v>
                </c:pt>
                <c:pt idx="181">
                  <c:v>43273</c:v>
                </c:pt>
                <c:pt idx="182">
                  <c:v>43280</c:v>
                </c:pt>
                <c:pt idx="183">
                  <c:v>43287</c:v>
                </c:pt>
                <c:pt idx="184">
                  <c:v>43294</c:v>
                </c:pt>
                <c:pt idx="185">
                  <c:v>43301</c:v>
                </c:pt>
                <c:pt idx="186">
                  <c:v>43308</c:v>
                </c:pt>
                <c:pt idx="187">
                  <c:v>43315</c:v>
                </c:pt>
                <c:pt idx="188">
                  <c:v>43322</c:v>
                </c:pt>
                <c:pt idx="189">
                  <c:v>43329</c:v>
                </c:pt>
                <c:pt idx="190">
                  <c:v>43336</c:v>
                </c:pt>
              </c:numCache>
            </c:numRef>
          </c:cat>
          <c:val>
            <c:numRef>
              <c:f>'Graf 7 + 8'!$J$10:$GR$10</c:f>
              <c:numCache>
                <c:formatCode>0.0</c:formatCode>
                <c:ptCount val="191"/>
                <c:pt idx="0">
                  <c:v>1.2001999999999999</c:v>
                </c:pt>
                <c:pt idx="1">
                  <c:v>1.1841999999999999</c:v>
                </c:pt>
                <c:pt idx="2">
                  <c:v>1.1567000000000001</c:v>
                </c:pt>
                <c:pt idx="3">
                  <c:v>1.1204000000000001</c:v>
                </c:pt>
                <c:pt idx="4">
                  <c:v>1.1291</c:v>
                </c:pt>
                <c:pt idx="5">
                  <c:v>1.1315999999999999</c:v>
                </c:pt>
                <c:pt idx="6">
                  <c:v>1.1394</c:v>
                </c:pt>
                <c:pt idx="7">
                  <c:v>1.1381000000000001</c:v>
                </c:pt>
                <c:pt idx="8">
                  <c:v>1.1195999999999999</c:v>
                </c:pt>
                <c:pt idx="9">
                  <c:v>1.0844</c:v>
                </c:pt>
                <c:pt idx="10">
                  <c:v>1.0496000000000001</c:v>
                </c:pt>
                <c:pt idx="11">
                  <c:v>1.0821000000000001</c:v>
                </c:pt>
                <c:pt idx="12">
                  <c:v>1.0889</c:v>
                </c:pt>
                <c:pt idx="13">
                  <c:v>1.0969</c:v>
                </c:pt>
                <c:pt idx="14">
                  <c:v>1.0604</c:v>
                </c:pt>
                <c:pt idx="15">
                  <c:v>1.0806</c:v>
                </c:pt>
                <c:pt idx="16">
                  <c:v>1.0872999999999999</c:v>
                </c:pt>
                <c:pt idx="17">
                  <c:v>1.1198999999999999</c:v>
                </c:pt>
                <c:pt idx="18">
                  <c:v>1.1198999999999999</c:v>
                </c:pt>
                <c:pt idx="19">
                  <c:v>1.1451</c:v>
                </c:pt>
                <c:pt idx="20">
                  <c:v>1.1012999999999999</c:v>
                </c:pt>
                <c:pt idx="21">
                  <c:v>1.0986</c:v>
                </c:pt>
                <c:pt idx="22">
                  <c:v>1.1113999999999999</c:v>
                </c:pt>
                <c:pt idx="23">
                  <c:v>1.1266</c:v>
                </c:pt>
                <c:pt idx="24">
                  <c:v>1.1352</c:v>
                </c:pt>
                <c:pt idx="25">
                  <c:v>1.1167</c:v>
                </c:pt>
                <c:pt idx="26">
                  <c:v>1.1113999999999999</c:v>
                </c:pt>
                <c:pt idx="27">
                  <c:v>1.1162000000000001</c:v>
                </c:pt>
                <c:pt idx="28">
                  <c:v>1.083</c:v>
                </c:pt>
                <c:pt idx="29">
                  <c:v>1.0984</c:v>
                </c:pt>
                <c:pt idx="30">
                  <c:v>1.0984</c:v>
                </c:pt>
                <c:pt idx="31">
                  <c:v>1.0967</c:v>
                </c:pt>
                <c:pt idx="32">
                  <c:v>1.1109</c:v>
                </c:pt>
                <c:pt idx="33">
                  <c:v>1.1386000000000001</c:v>
                </c:pt>
                <c:pt idx="34">
                  <c:v>1.1185</c:v>
                </c:pt>
                <c:pt idx="35">
                  <c:v>1.1149</c:v>
                </c:pt>
                <c:pt idx="36">
                  <c:v>1.1337999999999999</c:v>
                </c:pt>
                <c:pt idx="37">
                  <c:v>1.1297999999999999</c:v>
                </c:pt>
                <c:pt idx="38">
                  <c:v>1.1194999999999999</c:v>
                </c:pt>
                <c:pt idx="39">
                  <c:v>1.1215999999999999</c:v>
                </c:pt>
                <c:pt idx="40">
                  <c:v>1.1357999999999999</c:v>
                </c:pt>
                <c:pt idx="41">
                  <c:v>1.1348</c:v>
                </c:pt>
                <c:pt idx="42">
                  <c:v>1.1017999999999999</c:v>
                </c:pt>
                <c:pt idx="43">
                  <c:v>1.1006</c:v>
                </c:pt>
                <c:pt idx="44">
                  <c:v>1.0741000000000001</c:v>
                </c:pt>
                <c:pt idx="45">
                  <c:v>1.0772999999999999</c:v>
                </c:pt>
                <c:pt idx="46">
                  <c:v>1.0646</c:v>
                </c:pt>
                <c:pt idx="47">
                  <c:v>1.0592999999999999</c:v>
                </c:pt>
                <c:pt idx="48">
                  <c:v>1.0881000000000001</c:v>
                </c:pt>
                <c:pt idx="49">
                  <c:v>1.0986</c:v>
                </c:pt>
                <c:pt idx="50">
                  <c:v>1.0868</c:v>
                </c:pt>
                <c:pt idx="51">
                  <c:v>1.0960000000000001</c:v>
                </c:pt>
                <c:pt idx="52">
                  <c:v>1.0855999999999999</c:v>
                </c:pt>
                <c:pt idx="53">
                  <c:v>1.0922000000000001</c:v>
                </c:pt>
                <c:pt idx="54">
                  <c:v>1.0915999999999999</c:v>
                </c:pt>
                <c:pt idx="55">
                  <c:v>1.0796000000000001</c:v>
                </c:pt>
                <c:pt idx="56">
                  <c:v>1.0831</c:v>
                </c:pt>
                <c:pt idx="57">
                  <c:v>1.1157999999999999</c:v>
                </c:pt>
                <c:pt idx="58">
                  <c:v>1.1255999999999999</c:v>
                </c:pt>
                <c:pt idx="59">
                  <c:v>1.113</c:v>
                </c:pt>
                <c:pt idx="60">
                  <c:v>1.0933999999999999</c:v>
                </c:pt>
                <c:pt idx="61">
                  <c:v>1.1005</c:v>
                </c:pt>
                <c:pt idx="62">
                  <c:v>1.1155999999999999</c:v>
                </c:pt>
                <c:pt idx="63">
                  <c:v>1.127</c:v>
                </c:pt>
                <c:pt idx="64">
                  <c:v>1.1167</c:v>
                </c:pt>
                <c:pt idx="65">
                  <c:v>1.1391</c:v>
                </c:pt>
                <c:pt idx="66">
                  <c:v>1.1398999999999999</c:v>
                </c:pt>
                <c:pt idx="67">
                  <c:v>1.1284000000000001</c:v>
                </c:pt>
                <c:pt idx="68">
                  <c:v>1.1222000000000001</c:v>
                </c:pt>
                <c:pt idx="69">
                  <c:v>1.1451</c:v>
                </c:pt>
                <c:pt idx="70">
                  <c:v>1.1404000000000001</c:v>
                </c:pt>
                <c:pt idx="71">
                  <c:v>1.1309</c:v>
                </c:pt>
                <c:pt idx="72">
                  <c:v>1.1224000000000001</c:v>
                </c:pt>
                <c:pt idx="73">
                  <c:v>1.1114999999999999</c:v>
                </c:pt>
                <c:pt idx="74">
                  <c:v>1.1367</c:v>
                </c:pt>
                <c:pt idx="75">
                  <c:v>1.1251</c:v>
                </c:pt>
                <c:pt idx="76">
                  <c:v>1.1276999999999999</c:v>
                </c:pt>
                <c:pt idx="77">
                  <c:v>1.1116999999999999</c:v>
                </c:pt>
                <c:pt idx="78">
                  <c:v>1.1135999999999999</c:v>
                </c:pt>
                <c:pt idx="79">
                  <c:v>1.1051</c:v>
                </c:pt>
                <c:pt idx="80">
                  <c:v>1.1034999999999999</c:v>
                </c:pt>
                <c:pt idx="81">
                  <c:v>1.0976999999999999</c:v>
                </c:pt>
                <c:pt idx="82">
                  <c:v>1.1173999999999999</c:v>
                </c:pt>
                <c:pt idx="83">
                  <c:v>1.1086</c:v>
                </c:pt>
                <c:pt idx="84">
                  <c:v>1.1162000000000001</c:v>
                </c:pt>
                <c:pt idx="85">
                  <c:v>1.1325000000000001</c:v>
                </c:pt>
                <c:pt idx="86">
                  <c:v>1.1197999999999999</c:v>
                </c:pt>
                <c:pt idx="87">
                  <c:v>1.1155999999999999</c:v>
                </c:pt>
                <c:pt idx="88">
                  <c:v>1.1233</c:v>
                </c:pt>
                <c:pt idx="89">
                  <c:v>1.1154999999999999</c:v>
                </c:pt>
                <c:pt idx="90">
                  <c:v>1.1226</c:v>
                </c:pt>
                <c:pt idx="91">
                  <c:v>1.1234999999999999</c:v>
                </c:pt>
                <c:pt idx="92">
                  <c:v>1.1201000000000001</c:v>
                </c:pt>
                <c:pt idx="93">
                  <c:v>1.0972</c:v>
                </c:pt>
                <c:pt idx="94">
                  <c:v>1.0884</c:v>
                </c:pt>
                <c:pt idx="95">
                  <c:v>1.0985</c:v>
                </c:pt>
                <c:pt idx="96">
                  <c:v>1.1141000000000001</c:v>
                </c:pt>
                <c:pt idx="97">
                  <c:v>1.0854999999999999</c:v>
                </c:pt>
                <c:pt idx="98">
                  <c:v>1.0588</c:v>
                </c:pt>
                <c:pt idx="99">
                  <c:v>1.0589</c:v>
                </c:pt>
                <c:pt idx="100">
                  <c:v>1.0664</c:v>
                </c:pt>
                <c:pt idx="101">
                  <c:v>1.0561</c:v>
                </c:pt>
                <c:pt idx="102">
                  <c:v>1.0450999999999999</c:v>
                </c:pt>
                <c:pt idx="103">
                  <c:v>1.0456000000000001</c:v>
                </c:pt>
                <c:pt idx="104">
                  <c:v>1.0517000000000001</c:v>
                </c:pt>
                <c:pt idx="105">
                  <c:v>1.0531999999999999</c:v>
                </c:pt>
                <c:pt idx="106">
                  <c:v>1.0643</c:v>
                </c:pt>
                <c:pt idx="107">
                  <c:v>1.0703</c:v>
                </c:pt>
                <c:pt idx="108">
                  <c:v>1.0699000000000001</c:v>
                </c:pt>
                <c:pt idx="109">
                  <c:v>1.0783</c:v>
                </c:pt>
                <c:pt idx="110">
                  <c:v>1.0643</c:v>
                </c:pt>
                <c:pt idx="111">
                  <c:v>1.0616000000000001</c:v>
                </c:pt>
                <c:pt idx="112">
                  <c:v>1.0563</c:v>
                </c:pt>
                <c:pt idx="113">
                  <c:v>1.0622</c:v>
                </c:pt>
                <c:pt idx="114">
                  <c:v>1.0672999999999999</c:v>
                </c:pt>
                <c:pt idx="115">
                  <c:v>1.0738000000000001</c:v>
                </c:pt>
                <c:pt idx="116">
                  <c:v>1.0798000000000001</c:v>
                </c:pt>
                <c:pt idx="117">
                  <c:v>1.0651999999999999</c:v>
                </c:pt>
                <c:pt idx="118">
                  <c:v>1.0590999999999999</c:v>
                </c:pt>
                <c:pt idx="119">
                  <c:v>1.0618000000000001</c:v>
                </c:pt>
                <c:pt idx="120">
                  <c:v>1.0728</c:v>
                </c:pt>
                <c:pt idx="121">
                  <c:v>1.0894999999999999</c:v>
                </c:pt>
                <c:pt idx="122">
                  <c:v>1.0998000000000001</c:v>
                </c:pt>
                <c:pt idx="123">
                  <c:v>1.0931</c:v>
                </c:pt>
                <c:pt idx="124">
                  <c:v>1.1206</c:v>
                </c:pt>
                <c:pt idx="125">
                  <c:v>1.1183000000000001</c:v>
                </c:pt>
                <c:pt idx="126">
                  <c:v>1.1278999999999999</c:v>
                </c:pt>
                <c:pt idx="127">
                  <c:v>1.1194999999999999</c:v>
                </c:pt>
                <c:pt idx="128">
                  <c:v>1.1197999999999999</c:v>
                </c:pt>
                <c:pt idx="129">
                  <c:v>1.1194</c:v>
                </c:pt>
                <c:pt idx="130">
                  <c:v>1.1426000000000001</c:v>
                </c:pt>
                <c:pt idx="131">
                  <c:v>1.1400999999999999</c:v>
                </c:pt>
                <c:pt idx="132">
                  <c:v>1.147</c:v>
                </c:pt>
                <c:pt idx="133">
                  <c:v>1.1662999999999999</c:v>
                </c:pt>
                <c:pt idx="134">
                  <c:v>1.1751</c:v>
                </c:pt>
                <c:pt idx="135">
                  <c:v>1.1773</c:v>
                </c:pt>
                <c:pt idx="136">
                  <c:v>1.1820999999999999</c:v>
                </c:pt>
                <c:pt idx="137">
                  <c:v>1.1760999999999999</c:v>
                </c:pt>
                <c:pt idx="138">
                  <c:v>1.1923999999999999</c:v>
                </c:pt>
                <c:pt idx="139">
                  <c:v>1.1859999999999999</c:v>
                </c:pt>
                <c:pt idx="140">
                  <c:v>1.2036</c:v>
                </c:pt>
                <c:pt idx="141">
                  <c:v>1.1945000000000001</c:v>
                </c:pt>
                <c:pt idx="142">
                  <c:v>1.1951000000000001</c:v>
                </c:pt>
                <c:pt idx="143">
                  <c:v>1.1814</c:v>
                </c:pt>
                <c:pt idx="144">
                  <c:v>1.173</c:v>
                </c:pt>
                <c:pt idx="145">
                  <c:v>1.1819999999999999</c:v>
                </c:pt>
                <c:pt idx="146">
                  <c:v>1.1783999999999999</c:v>
                </c:pt>
                <c:pt idx="147">
                  <c:v>1.1608000000000001</c:v>
                </c:pt>
                <c:pt idx="148">
                  <c:v>1.1608000000000001</c:v>
                </c:pt>
                <c:pt idx="149">
                  <c:v>1.1665000000000001</c:v>
                </c:pt>
                <c:pt idx="150">
                  <c:v>1.179</c:v>
                </c:pt>
                <c:pt idx="151">
                  <c:v>1.1933</c:v>
                </c:pt>
                <c:pt idx="152">
                  <c:v>1.1896</c:v>
                </c:pt>
                <c:pt idx="153">
                  <c:v>1.1773</c:v>
                </c:pt>
                <c:pt idx="154">
                  <c:v>1.1749000000000001</c:v>
                </c:pt>
                <c:pt idx="155">
                  <c:v>1.1861999999999999</c:v>
                </c:pt>
                <c:pt idx="156">
                  <c:v>1.2004999999999999</c:v>
                </c:pt>
                <c:pt idx="157">
                  <c:v>1.2029000000000001</c:v>
                </c:pt>
                <c:pt idx="158">
                  <c:v>1.2202</c:v>
                </c:pt>
                <c:pt idx="159">
                  <c:v>1.2222</c:v>
                </c:pt>
                <c:pt idx="160">
                  <c:v>1.2426999999999999</c:v>
                </c:pt>
                <c:pt idx="161">
                  <c:v>1.2463</c:v>
                </c:pt>
                <c:pt idx="162">
                  <c:v>1.2252000000000001</c:v>
                </c:pt>
                <c:pt idx="163">
                  <c:v>1.2405999999999999</c:v>
                </c:pt>
                <c:pt idx="164">
                  <c:v>1.2295</c:v>
                </c:pt>
                <c:pt idx="165">
                  <c:v>1.2317</c:v>
                </c:pt>
                <c:pt idx="166">
                  <c:v>1.2306999999999999</c:v>
                </c:pt>
                <c:pt idx="167">
                  <c:v>1.2290000000000001</c:v>
                </c:pt>
                <c:pt idx="168">
                  <c:v>1.2353000000000001</c:v>
                </c:pt>
                <c:pt idx="169">
                  <c:v>1.2323999999999999</c:v>
                </c:pt>
                <c:pt idx="170">
                  <c:v>1.2281</c:v>
                </c:pt>
                <c:pt idx="171">
                  <c:v>1.2331000000000001</c:v>
                </c:pt>
                <c:pt idx="172">
                  <c:v>1.2288000000000001</c:v>
                </c:pt>
                <c:pt idx="173">
                  <c:v>1.2130000000000001</c:v>
                </c:pt>
                <c:pt idx="174">
                  <c:v>1.196</c:v>
                </c:pt>
                <c:pt idx="175">
                  <c:v>1.1942999999999999</c:v>
                </c:pt>
                <c:pt idx="176">
                  <c:v>1.1772</c:v>
                </c:pt>
                <c:pt idx="177">
                  <c:v>1.1651</c:v>
                </c:pt>
                <c:pt idx="178">
                  <c:v>1.1658999999999999</c:v>
                </c:pt>
                <c:pt idx="179">
                  <c:v>1.1769000000000001</c:v>
                </c:pt>
                <c:pt idx="180">
                  <c:v>1.161</c:v>
                </c:pt>
                <c:pt idx="181">
                  <c:v>1.1651</c:v>
                </c:pt>
                <c:pt idx="182">
                  <c:v>1.1684000000000001</c:v>
                </c:pt>
                <c:pt idx="183">
                  <c:v>1.1746000000000001</c:v>
                </c:pt>
                <c:pt idx="184">
                  <c:v>1.1685000000000001</c:v>
                </c:pt>
                <c:pt idx="185">
                  <c:v>1.1724000000000001</c:v>
                </c:pt>
                <c:pt idx="186">
                  <c:v>1.1657</c:v>
                </c:pt>
                <c:pt idx="187">
                  <c:v>1.1568000000000001</c:v>
                </c:pt>
                <c:pt idx="188">
                  <c:v>1.1413</c:v>
                </c:pt>
                <c:pt idx="189">
                  <c:v>1.1437999999999999</c:v>
                </c:pt>
                <c:pt idx="190">
                  <c:v>1.1621999999999999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F4-42D7-8A19-42B751AE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84296"/>
        <c:axId val="909484688"/>
      </c:lineChart>
      <c:lineChart>
        <c:grouping val="standard"/>
        <c:varyColors val="0"/>
        <c:ser>
          <c:idx val="2"/>
          <c:order val="0"/>
          <c:tx>
            <c:strRef>
              <c:f>'Graf 7 + 8'!$I$8</c:f>
              <c:strCache>
                <c:ptCount val="1"/>
                <c:pt idx="0">
                  <c:v>EUR/JPY (right axis)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7 + 8'!$J$7:$ER$7</c:f>
              <c:numCache>
                <c:formatCode>m/d/yyyy</c:formatCode>
                <c:ptCount val="139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  <c:pt idx="41">
                  <c:v>42293</c:v>
                </c:pt>
                <c:pt idx="42">
                  <c:v>42300</c:v>
                </c:pt>
                <c:pt idx="43">
                  <c:v>42307</c:v>
                </c:pt>
                <c:pt idx="44">
                  <c:v>42314</c:v>
                </c:pt>
                <c:pt idx="45">
                  <c:v>42321</c:v>
                </c:pt>
                <c:pt idx="46">
                  <c:v>42328</c:v>
                </c:pt>
                <c:pt idx="47">
                  <c:v>42335</c:v>
                </c:pt>
                <c:pt idx="48">
                  <c:v>42342</c:v>
                </c:pt>
                <c:pt idx="49">
                  <c:v>42349</c:v>
                </c:pt>
                <c:pt idx="50">
                  <c:v>42356</c:v>
                </c:pt>
                <c:pt idx="51">
                  <c:v>42363</c:v>
                </c:pt>
                <c:pt idx="52">
                  <c:v>42370</c:v>
                </c:pt>
                <c:pt idx="53">
                  <c:v>42377</c:v>
                </c:pt>
                <c:pt idx="54">
                  <c:v>42384</c:v>
                </c:pt>
                <c:pt idx="55">
                  <c:v>42391</c:v>
                </c:pt>
                <c:pt idx="56">
                  <c:v>42398</c:v>
                </c:pt>
                <c:pt idx="57">
                  <c:v>42405</c:v>
                </c:pt>
                <c:pt idx="58">
                  <c:v>42412</c:v>
                </c:pt>
                <c:pt idx="59">
                  <c:v>42419</c:v>
                </c:pt>
                <c:pt idx="60">
                  <c:v>42426</c:v>
                </c:pt>
                <c:pt idx="61">
                  <c:v>42433</c:v>
                </c:pt>
                <c:pt idx="62">
                  <c:v>42440</c:v>
                </c:pt>
                <c:pt idx="63">
                  <c:v>42447</c:v>
                </c:pt>
                <c:pt idx="64">
                  <c:v>42454</c:v>
                </c:pt>
                <c:pt idx="65">
                  <c:v>42461</c:v>
                </c:pt>
                <c:pt idx="66">
                  <c:v>42468</c:v>
                </c:pt>
                <c:pt idx="67">
                  <c:v>42475</c:v>
                </c:pt>
                <c:pt idx="68">
                  <c:v>42482</c:v>
                </c:pt>
                <c:pt idx="69">
                  <c:v>42489</c:v>
                </c:pt>
                <c:pt idx="70">
                  <c:v>42496</c:v>
                </c:pt>
                <c:pt idx="71">
                  <c:v>42503</c:v>
                </c:pt>
                <c:pt idx="72">
                  <c:v>42510</c:v>
                </c:pt>
                <c:pt idx="73">
                  <c:v>42517</c:v>
                </c:pt>
                <c:pt idx="74">
                  <c:v>42524</c:v>
                </c:pt>
                <c:pt idx="75">
                  <c:v>42531</c:v>
                </c:pt>
                <c:pt idx="76">
                  <c:v>42538</c:v>
                </c:pt>
                <c:pt idx="77">
                  <c:v>42545</c:v>
                </c:pt>
                <c:pt idx="78">
                  <c:v>42552</c:v>
                </c:pt>
                <c:pt idx="79">
                  <c:v>42559</c:v>
                </c:pt>
                <c:pt idx="80">
                  <c:v>42566</c:v>
                </c:pt>
                <c:pt idx="81">
                  <c:v>42573</c:v>
                </c:pt>
                <c:pt idx="82">
                  <c:v>42580</c:v>
                </c:pt>
                <c:pt idx="83">
                  <c:v>42587</c:v>
                </c:pt>
                <c:pt idx="84">
                  <c:v>42594</c:v>
                </c:pt>
                <c:pt idx="85">
                  <c:v>42601</c:v>
                </c:pt>
                <c:pt idx="86">
                  <c:v>42608</c:v>
                </c:pt>
                <c:pt idx="87">
                  <c:v>42615</c:v>
                </c:pt>
                <c:pt idx="88">
                  <c:v>42622</c:v>
                </c:pt>
                <c:pt idx="89">
                  <c:v>42629</c:v>
                </c:pt>
                <c:pt idx="90">
                  <c:v>42636</c:v>
                </c:pt>
                <c:pt idx="91">
                  <c:v>42643</c:v>
                </c:pt>
                <c:pt idx="92">
                  <c:v>42650</c:v>
                </c:pt>
                <c:pt idx="93">
                  <c:v>42657</c:v>
                </c:pt>
                <c:pt idx="94">
                  <c:v>42664</c:v>
                </c:pt>
                <c:pt idx="95">
                  <c:v>42671</c:v>
                </c:pt>
                <c:pt idx="96">
                  <c:v>42678</c:v>
                </c:pt>
                <c:pt idx="97">
                  <c:v>42685</c:v>
                </c:pt>
                <c:pt idx="98">
                  <c:v>42692</c:v>
                </c:pt>
                <c:pt idx="99">
                  <c:v>42699</c:v>
                </c:pt>
                <c:pt idx="100">
                  <c:v>42706</c:v>
                </c:pt>
                <c:pt idx="101">
                  <c:v>42713</c:v>
                </c:pt>
                <c:pt idx="102">
                  <c:v>42720</c:v>
                </c:pt>
                <c:pt idx="103">
                  <c:v>42727</c:v>
                </c:pt>
                <c:pt idx="104">
                  <c:v>42734</c:v>
                </c:pt>
                <c:pt idx="105">
                  <c:v>42741</c:v>
                </c:pt>
                <c:pt idx="106">
                  <c:v>42748</c:v>
                </c:pt>
                <c:pt idx="107">
                  <c:v>42755</c:v>
                </c:pt>
                <c:pt idx="108">
                  <c:v>42762</c:v>
                </c:pt>
                <c:pt idx="109">
                  <c:v>42769</c:v>
                </c:pt>
                <c:pt idx="110">
                  <c:v>42776</c:v>
                </c:pt>
                <c:pt idx="111">
                  <c:v>42783</c:v>
                </c:pt>
                <c:pt idx="112">
                  <c:v>42790</c:v>
                </c:pt>
                <c:pt idx="113">
                  <c:v>42797</c:v>
                </c:pt>
                <c:pt idx="114">
                  <c:v>42804</c:v>
                </c:pt>
                <c:pt idx="115">
                  <c:v>42811</c:v>
                </c:pt>
                <c:pt idx="116">
                  <c:v>42818</c:v>
                </c:pt>
                <c:pt idx="117">
                  <c:v>42825</c:v>
                </c:pt>
                <c:pt idx="118">
                  <c:v>42832</c:v>
                </c:pt>
                <c:pt idx="119">
                  <c:v>42839</c:v>
                </c:pt>
                <c:pt idx="120">
                  <c:v>42846</c:v>
                </c:pt>
                <c:pt idx="121">
                  <c:v>42853</c:v>
                </c:pt>
                <c:pt idx="122">
                  <c:v>42860</c:v>
                </c:pt>
                <c:pt idx="123">
                  <c:v>42867</c:v>
                </c:pt>
                <c:pt idx="124">
                  <c:v>42874</c:v>
                </c:pt>
                <c:pt idx="125">
                  <c:v>42881</c:v>
                </c:pt>
                <c:pt idx="126">
                  <c:v>42888</c:v>
                </c:pt>
                <c:pt idx="127">
                  <c:v>42895</c:v>
                </c:pt>
                <c:pt idx="128">
                  <c:v>42902</c:v>
                </c:pt>
                <c:pt idx="129">
                  <c:v>42909</c:v>
                </c:pt>
                <c:pt idx="130">
                  <c:v>42916</c:v>
                </c:pt>
                <c:pt idx="131">
                  <c:v>42923</c:v>
                </c:pt>
                <c:pt idx="132">
                  <c:v>42930</c:v>
                </c:pt>
                <c:pt idx="133">
                  <c:v>42937</c:v>
                </c:pt>
                <c:pt idx="134">
                  <c:v>42944</c:v>
                </c:pt>
                <c:pt idx="135">
                  <c:v>42951</c:v>
                </c:pt>
                <c:pt idx="136">
                  <c:v>42958</c:v>
                </c:pt>
                <c:pt idx="137">
                  <c:v>42965</c:v>
                </c:pt>
                <c:pt idx="138">
                  <c:v>42972</c:v>
                </c:pt>
              </c:numCache>
            </c:numRef>
          </c:cat>
          <c:val>
            <c:numRef>
              <c:f>'Graf 7 + 8'!$J$8:$GR$8</c:f>
              <c:numCache>
                <c:formatCode>0.0</c:formatCode>
                <c:ptCount val="191"/>
                <c:pt idx="0">
                  <c:v>144.63</c:v>
                </c:pt>
                <c:pt idx="1">
                  <c:v>140.32</c:v>
                </c:pt>
                <c:pt idx="2">
                  <c:v>135.94999999999999</c:v>
                </c:pt>
                <c:pt idx="3">
                  <c:v>131.94999999999999</c:v>
                </c:pt>
                <c:pt idx="4">
                  <c:v>132.65</c:v>
                </c:pt>
                <c:pt idx="5">
                  <c:v>134.79</c:v>
                </c:pt>
                <c:pt idx="6">
                  <c:v>135.37</c:v>
                </c:pt>
                <c:pt idx="7">
                  <c:v>135.51</c:v>
                </c:pt>
                <c:pt idx="8">
                  <c:v>133.94</c:v>
                </c:pt>
                <c:pt idx="9">
                  <c:v>131</c:v>
                </c:pt>
                <c:pt idx="10">
                  <c:v>127.42</c:v>
                </c:pt>
                <c:pt idx="11">
                  <c:v>129.9</c:v>
                </c:pt>
                <c:pt idx="12">
                  <c:v>129.72999999999999</c:v>
                </c:pt>
                <c:pt idx="13">
                  <c:v>130.54</c:v>
                </c:pt>
                <c:pt idx="14">
                  <c:v>127.49</c:v>
                </c:pt>
                <c:pt idx="15">
                  <c:v>128.49</c:v>
                </c:pt>
                <c:pt idx="16">
                  <c:v>129.38</c:v>
                </c:pt>
                <c:pt idx="17">
                  <c:v>134.59</c:v>
                </c:pt>
                <c:pt idx="18">
                  <c:v>134.18</c:v>
                </c:pt>
                <c:pt idx="19">
                  <c:v>136.54</c:v>
                </c:pt>
                <c:pt idx="20">
                  <c:v>133.84</c:v>
                </c:pt>
                <c:pt idx="21">
                  <c:v>136.35</c:v>
                </c:pt>
                <c:pt idx="22">
                  <c:v>139.61000000000001</c:v>
                </c:pt>
                <c:pt idx="23">
                  <c:v>139.02000000000001</c:v>
                </c:pt>
                <c:pt idx="24">
                  <c:v>139.28</c:v>
                </c:pt>
                <c:pt idx="25">
                  <c:v>138.31</c:v>
                </c:pt>
                <c:pt idx="26">
                  <c:v>136.43</c:v>
                </c:pt>
                <c:pt idx="27">
                  <c:v>136.91999999999999</c:v>
                </c:pt>
                <c:pt idx="28">
                  <c:v>134.38</c:v>
                </c:pt>
                <c:pt idx="29">
                  <c:v>135.97999999999999</c:v>
                </c:pt>
                <c:pt idx="30">
                  <c:v>136.08000000000001</c:v>
                </c:pt>
                <c:pt idx="31">
                  <c:v>136.24</c:v>
                </c:pt>
                <c:pt idx="32">
                  <c:v>138.1</c:v>
                </c:pt>
                <c:pt idx="33">
                  <c:v>138.93</c:v>
                </c:pt>
                <c:pt idx="34">
                  <c:v>136.12</c:v>
                </c:pt>
                <c:pt idx="35">
                  <c:v>132.68</c:v>
                </c:pt>
                <c:pt idx="36">
                  <c:v>136.72</c:v>
                </c:pt>
                <c:pt idx="37">
                  <c:v>135.51</c:v>
                </c:pt>
                <c:pt idx="38">
                  <c:v>135.03</c:v>
                </c:pt>
                <c:pt idx="39">
                  <c:v>134.46</c:v>
                </c:pt>
                <c:pt idx="40">
                  <c:v>136.61000000000001</c:v>
                </c:pt>
                <c:pt idx="41">
                  <c:v>135.58000000000001</c:v>
                </c:pt>
                <c:pt idx="42">
                  <c:v>133.84</c:v>
                </c:pt>
                <c:pt idx="43">
                  <c:v>132.75</c:v>
                </c:pt>
                <c:pt idx="44">
                  <c:v>132.25</c:v>
                </c:pt>
                <c:pt idx="45">
                  <c:v>132.09</c:v>
                </c:pt>
                <c:pt idx="46">
                  <c:v>130.77000000000001</c:v>
                </c:pt>
                <c:pt idx="47">
                  <c:v>130.09</c:v>
                </c:pt>
                <c:pt idx="48">
                  <c:v>133.96</c:v>
                </c:pt>
                <c:pt idx="49">
                  <c:v>132.93</c:v>
                </c:pt>
                <c:pt idx="50">
                  <c:v>131.66999999999999</c:v>
                </c:pt>
                <c:pt idx="51">
                  <c:v>131.96</c:v>
                </c:pt>
                <c:pt idx="52">
                  <c:v>131.1</c:v>
                </c:pt>
                <c:pt idx="53">
                  <c:v>128.12</c:v>
                </c:pt>
                <c:pt idx="54">
                  <c:v>127.71</c:v>
                </c:pt>
                <c:pt idx="55">
                  <c:v>128.26</c:v>
                </c:pt>
                <c:pt idx="56">
                  <c:v>131.21</c:v>
                </c:pt>
                <c:pt idx="57">
                  <c:v>130.41</c:v>
                </c:pt>
                <c:pt idx="58">
                  <c:v>127.46</c:v>
                </c:pt>
                <c:pt idx="59">
                  <c:v>125.31</c:v>
                </c:pt>
                <c:pt idx="60">
                  <c:v>124.63</c:v>
                </c:pt>
                <c:pt idx="61">
                  <c:v>125.18</c:v>
                </c:pt>
                <c:pt idx="62">
                  <c:v>127</c:v>
                </c:pt>
                <c:pt idx="63">
                  <c:v>125.72</c:v>
                </c:pt>
                <c:pt idx="64">
                  <c:v>126.28</c:v>
                </c:pt>
                <c:pt idx="65">
                  <c:v>127.21</c:v>
                </c:pt>
                <c:pt idx="66">
                  <c:v>123.19</c:v>
                </c:pt>
                <c:pt idx="67">
                  <c:v>122.72</c:v>
                </c:pt>
                <c:pt idx="68">
                  <c:v>125.5</c:v>
                </c:pt>
                <c:pt idx="69">
                  <c:v>121.94</c:v>
                </c:pt>
                <c:pt idx="70">
                  <c:v>122.17</c:v>
                </c:pt>
                <c:pt idx="71">
                  <c:v>122.85</c:v>
                </c:pt>
                <c:pt idx="72">
                  <c:v>123.63</c:v>
                </c:pt>
                <c:pt idx="73">
                  <c:v>122.61</c:v>
                </c:pt>
                <c:pt idx="74">
                  <c:v>121.09</c:v>
                </c:pt>
                <c:pt idx="75">
                  <c:v>120.38</c:v>
                </c:pt>
                <c:pt idx="76">
                  <c:v>117.47</c:v>
                </c:pt>
                <c:pt idx="77">
                  <c:v>113.65</c:v>
                </c:pt>
                <c:pt idx="78">
                  <c:v>114.16</c:v>
                </c:pt>
                <c:pt idx="79">
                  <c:v>111.11</c:v>
                </c:pt>
                <c:pt idx="80">
                  <c:v>115.69</c:v>
                </c:pt>
                <c:pt idx="81">
                  <c:v>116.51</c:v>
                </c:pt>
                <c:pt idx="82">
                  <c:v>114.06</c:v>
                </c:pt>
                <c:pt idx="83">
                  <c:v>112.87</c:v>
                </c:pt>
                <c:pt idx="84">
                  <c:v>113.06</c:v>
                </c:pt>
                <c:pt idx="85">
                  <c:v>113.52</c:v>
                </c:pt>
                <c:pt idx="86">
                  <c:v>114</c:v>
                </c:pt>
                <c:pt idx="87">
                  <c:v>115.96</c:v>
                </c:pt>
                <c:pt idx="88">
                  <c:v>115.35</c:v>
                </c:pt>
                <c:pt idx="89">
                  <c:v>114.1</c:v>
                </c:pt>
                <c:pt idx="90">
                  <c:v>113.37</c:v>
                </c:pt>
                <c:pt idx="91">
                  <c:v>113.92</c:v>
                </c:pt>
                <c:pt idx="92">
                  <c:v>115.39</c:v>
                </c:pt>
                <c:pt idx="93">
                  <c:v>114.31</c:v>
                </c:pt>
                <c:pt idx="94">
                  <c:v>112.95</c:v>
                </c:pt>
                <c:pt idx="95">
                  <c:v>115.06</c:v>
                </c:pt>
                <c:pt idx="96">
                  <c:v>114.87</c:v>
                </c:pt>
                <c:pt idx="97">
                  <c:v>115.76</c:v>
                </c:pt>
                <c:pt idx="98">
                  <c:v>117.43</c:v>
                </c:pt>
                <c:pt idx="99">
                  <c:v>119.82</c:v>
                </c:pt>
                <c:pt idx="100">
                  <c:v>121.08</c:v>
                </c:pt>
                <c:pt idx="101">
                  <c:v>121.76</c:v>
                </c:pt>
                <c:pt idx="102">
                  <c:v>123.22</c:v>
                </c:pt>
                <c:pt idx="103">
                  <c:v>122.66</c:v>
                </c:pt>
                <c:pt idx="104">
                  <c:v>122.97</c:v>
                </c:pt>
                <c:pt idx="105">
                  <c:v>123.25</c:v>
                </c:pt>
                <c:pt idx="106">
                  <c:v>121.87</c:v>
                </c:pt>
                <c:pt idx="107">
                  <c:v>122.69</c:v>
                </c:pt>
                <c:pt idx="108">
                  <c:v>123.13</c:v>
                </c:pt>
                <c:pt idx="109">
                  <c:v>121.44</c:v>
                </c:pt>
                <c:pt idx="110">
                  <c:v>120.48</c:v>
                </c:pt>
                <c:pt idx="111">
                  <c:v>119.81</c:v>
                </c:pt>
                <c:pt idx="112">
                  <c:v>118.44</c:v>
                </c:pt>
                <c:pt idx="113">
                  <c:v>121.13</c:v>
                </c:pt>
                <c:pt idx="114">
                  <c:v>122.53</c:v>
                </c:pt>
                <c:pt idx="115">
                  <c:v>121.03</c:v>
                </c:pt>
                <c:pt idx="116">
                  <c:v>120.22</c:v>
                </c:pt>
                <c:pt idx="117">
                  <c:v>118.67</c:v>
                </c:pt>
                <c:pt idx="118">
                  <c:v>117.65</c:v>
                </c:pt>
                <c:pt idx="119">
                  <c:v>115.36</c:v>
                </c:pt>
                <c:pt idx="120">
                  <c:v>116.94</c:v>
                </c:pt>
                <c:pt idx="121">
                  <c:v>121.53</c:v>
                </c:pt>
                <c:pt idx="122">
                  <c:v>123.93</c:v>
                </c:pt>
                <c:pt idx="123">
                  <c:v>123.89</c:v>
                </c:pt>
                <c:pt idx="124">
                  <c:v>124.69</c:v>
                </c:pt>
                <c:pt idx="125">
                  <c:v>124.5</c:v>
                </c:pt>
                <c:pt idx="126">
                  <c:v>124.58</c:v>
                </c:pt>
                <c:pt idx="127">
                  <c:v>123.51</c:v>
                </c:pt>
                <c:pt idx="128">
                  <c:v>124.15</c:v>
                </c:pt>
                <c:pt idx="129">
                  <c:v>124.5</c:v>
                </c:pt>
                <c:pt idx="130">
                  <c:v>128.4</c:v>
                </c:pt>
                <c:pt idx="131">
                  <c:v>129.91999999999999</c:v>
                </c:pt>
                <c:pt idx="132">
                  <c:v>129.07</c:v>
                </c:pt>
                <c:pt idx="133">
                  <c:v>129.61000000000001</c:v>
                </c:pt>
                <c:pt idx="134">
                  <c:v>130.03</c:v>
                </c:pt>
                <c:pt idx="135">
                  <c:v>130.31</c:v>
                </c:pt>
                <c:pt idx="136">
                  <c:v>129.07</c:v>
                </c:pt>
                <c:pt idx="137">
                  <c:v>128.4</c:v>
                </c:pt>
                <c:pt idx="138">
                  <c:v>130.38999999999999</c:v>
                </c:pt>
                <c:pt idx="139">
                  <c:v>130.75</c:v>
                </c:pt>
                <c:pt idx="140">
                  <c:v>129.79</c:v>
                </c:pt>
                <c:pt idx="141">
                  <c:v>132.41999999999999</c:v>
                </c:pt>
                <c:pt idx="142">
                  <c:v>133.84</c:v>
                </c:pt>
                <c:pt idx="143">
                  <c:v>132.91999999999999</c:v>
                </c:pt>
                <c:pt idx="144">
                  <c:v>132.16</c:v>
                </c:pt>
                <c:pt idx="145">
                  <c:v>132.21</c:v>
                </c:pt>
                <c:pt idx="146">
                  <c:v>133.77000000000001</c:v>
                </c:pt>
                <c:pt idx="147">
                  <c:v>131.97</c:v>
                </c:pt>
                <c:pt idx="148">
                  <c:v>132.41999999999999</c:v>
                </c:pt>
                <c:pt idx="149">
                  <c:v>132.38999999999999</c:v>
                </c:pt>
                <c:pt idx="150">
                  <c:v>132.16999999999999</c:v>
                </c:pt>
                <c:pt idx="151">
                  <c:v>133.08000000000001</c:v>
                </c:pt>
                <c:pt idx="152">
                  <c:v>133.46</c:v>
                </c:pt>
                <c:pt idx="153">
                  <c:v>133.6</c:v>
                </c:pt>
                <c:pt idx="154">
                  <c:v>132.30000000000001</c:v>
                </c:pt>
                <c:pt idx="155">
                  <c:v>134.36000000000001</c:v>
                </c:pt>
                <c:pt idx="156">
                  <c:v>135.28</c:v>
                </c:pt>
                <c:pt idx="157">
                  <c:v>136.02000000000001</c:v>
                </c:pt>
                <c:pt idx="158">
                  <c:v>135.5</c:v>
                </c:pt>
                <c:pt idx="159">
                  <c:v>135.44999999999999</c:v>
                </c:pt>
                <c:pt idx="160">
                  <c:v>134.96</c:v>
                </c:pt>
                <c:pt idx="161">
                  <c:v>137.25</c:v>
                </c:pt>
                <c:pt idx="162">
                  <c:v>133.30000000000001</c:v>
                </c:pt>
                <c:pt idx="163">
                  <c:v>131.88</c:v>
                </c:pt>
                <c:pt idx="164">
                  <c:v>131.41</c:v>
                </c:pt>
                <c:pt idx="165">
                  <c:v>130.22999999999999</c:v>
                </c:pt>
                <c:pt idx="166">
                  <c:v>131.46</c:v>
                </c:pt>
                <c:pt idx="167">
                  <c:v>130.28</c:v>
                </c:pt>
                <c:pt idx="168">
                  <c:v>129.4</c:v>
                </c:pt>
                <c:pt idx="169">
                  <c:v>130.97</c:v>
                </c:pt>
                <c:pt idx="170">
                  <c:v>131.32</c:v>
                </c:pt>
                <c:pt idx="171">
                  <c:v>132.38</c:v>
                </c:pt>
                <c:pt idx="172">
                  <c:v>132.28</c:v>
                </c:pt>
                <c:pt idx="173">
                  <c:v>132.29</c:v>
                </c:pt>
                <c:pt idx="174">
                  <c:v>130.5</c:v>
                </c:pt>
                <c:pt idx="175">
                  <c:v>130.63</c:v>
                </c:pt>
                <c:pt idx="176">
                  <c:v>130.38999999999999</c:v>
                </c:pt>
                <c:pt idx="177">
                  <c:v>127.44</c:v>
                </c:pt>
                <c:pt idx="178">
                  <c:v>127.72</c:v>
                </c:pt>
                <c:pt idx="179">
                  <c:v>128.93</c:v>
                </c:pt>
                <c:pt idx="180">
                  <c:v>128.43</c:v>
                </c:pt>
                <c:pt idx="181">
                  <c:v>128.15</c:v>
                </c:pt>
                <c:pt idx="182">
                  <c:v>129.36000000000001</c:v>
                </c:pt>
                <c:pt idx="183">
                  <c:v>129.77000000000001</c:v>
                </c:pt>
                <c:pt idx="184">
                  <c:v>131.30000000000001</c:v>
                </c:pt>
                <c:pt idx="185">
                  <c:v>130.63</c:v>
                </c:pt>
                <c:pt idx="186">
                  <c:v>129.44999999999999</c:v>
                </c:pt>
                <c:pt idx="187">
                  <c:v>128.69999999999999</c:v>
                </c:pt>
                <c:pt idx="188">
                  <c:v>126.51</c:v>
                </c:pt>
                <c:pt idx="189">
                  <c:v>126.4</c:v>
                </c:pt>
                <c:pt idx="190">
                  <c:v>129.29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3F4-42D7-8A19-42B751AE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85472"/>
        <c:axId val="909485080"/>
      </c:lineChart>
      <c:dateAx>
        <c:axId val="909484296"/>
        <c:scaling>
          <c:orientation val="minMax"/>
          <c:max val="43336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/>
            </a:pPr>
            <a:endParaRPr lang="sk-SK"/>
          </a:p>
        </c:txPr>
        <c:crossAx val="909484688"/>
        <c:crosses val="autoZero"/>
        <c:auto val="1"/>
        <c:lblOffset val="100"/>
        <c:baseTimeUnit val="days"/>
        <c:majorUnit val="1"/>
        <c:majorTimeUnit val="years"/>
      </c:dateAx>
      <c:valAx>
        <c:axId val="909484688"/>
        <c:scaling>
          <c:orientation val="minMax"/>
          <c:max val="1.3"/>
          <c:min val="0.60000000000000009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/>
            </a:pPr>
            <a:endParaRPr lang="sk-SK"/>
          </a:p>
        </c:txPr>
        <c:crossAx val="909484296"/>
        <c:crosses val="autoZero"/>
        <c:crossBetween val="between"/>
        <c:majorUnit val="0.1"/>
      </c:valAx>
      <c:valAx>
        <c:axId val="909485080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sk-SK"/>
          </a:p>
        </c:txPr>
        <c:crossAx val="909485472"/>
        <c:crosses val="max"/>
        <c:crossBetween val="between"/>
      </c:valAx>
      <c:dateAx>
        <c:axId val="9094854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09485080"/>
        <c:crosses val="autoZero"/>
        <c:auto val="1"/>
        <c:lblOffset val="100"/>
        <c:baseTimeUnit val="days"/>
      </c:dateAx>
    </c:plotArea>
    <c:legend>
      <c:legendPos val="t"/>
      <c:layout>
        <c:manualLayout>
          <c:xMode val="edge"/>
          <c:yMode val="edge"/>
          <c:x val="7.8018886796159953E-2"/>
          <c:y val="1.0336190749627442E-2"/>
          <c:w val="0.83017946078295002"/>
          <c:h val="0.156096193104067"/>
        </c:manualLayout>
      </c:layout>
      <c:overlay val="1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NeueHaasGroteskText W02"/>
          <a:cs typeface="NeueHaasGroteskText W02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0072392064358"/>
          <c:y val="4.4432698804451227E-2"/>
          <c:w val="0.88153498798082397"/>
          <c:h val="0.86062298458916264"/>
        </c:manualLayout>
      </c:layout>
      <c:lineChart>
        <c:grouping val="standard"/>
        <c:varyColors val="0"/>
        <c:ser>
          <c:idx val="0"/>
          <c:order val="0"/>
          <c:tx>
            <c:strRef>
              <c:f>'Graf 7 + 8'!$J$18</c:f>
              <c:strCache>
                <c:ptCount val="1"/>
                <c:pt idx="0">
                  <c:v>Brent (USD/bl)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7 + 8'!$I$19:$I$150</c:f>
              <c:numCache>
                <c:formatCode>m/d/yyyy</c:formatCode>
                <c:ptCount val="132"/>
                <c:pt idx="0">
                  <c:v>40207</c:v>
                </c:pt>
                <c:pt idx="1">
                  <c:v>40235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40389</c:v>
                </c:pt>
                <c:pt idx="7">
                  <c:v>40421</c:v>
                </c:pt>
                <c:pt idx="8">
                  <c:v>40451</c:v>
                </c:pt>
                <c:pt idx="9">
                  <c:v>40480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40662</c:v>
                </c:pt>
                <c:pt idx="16">
                  <c:v>40694</c:v>
                </c:pt>
                <c:pt idx="17">
                  <c:v>40724</c:v>
                </c:pt>
                <c:pt idx="18">
                  <c:v>40753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40907</c:v>
                </c:pt>
                <c:pt idx="24">
                  <c:v>40939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41060</c:v>
                </c:pt>
                <c:pt idx="29">
                  <c:v>41089</c:v>
                </c:pt>
                <c:pt idx="30">
                  <c:v>41121</c:v>
                </c:pt>
                <c:pt idx="31">
                  <c:v>41152</c:v>
                </c:pt>
                <c:pt idx="32">
                  <c:v>41180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41362</c:v>
                </c:pt>
                <c:pt idx="39">
                  <c:v>41394</c:v>
                </c:pt>
                <c:pt idx="40">
                  <c:v>41425</c:v>
                </c:pt>
                <c:pt idx="41">
                  <c:v>41453</c:v>
                </c:pt>
                <c:pt idx="42">
                  <c:v>41486</c:v>
                </c:pt>
                <c:pt idx="43">
                  <c:v>41516</c:v>
                </c:pt>
                <c:pt idx="44">
                  <c:v>41547</c:v>
                </c:pt>
                <c:pt idx="45">
                  <c:v>41578</c:v>
                </c:pt>
                <c:pt idx="46">
                  <c:v>41607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41789</c:v>
                </c:pt>
                <c:pt idx="53">
                  <c:v>41820</c:v>
                </c:pt>
                <c:pt idx="54">
                  <c:v>41851</c:v>
                </c:pt>
                <c:pt idx="55">
                  <c:v>41880</c:v>
                </c:pt>
                <c:pt idx="56">
                  <c:v>41912</c:v>
                </c:pt>
                <c:pt idx="57">
                  <c:v>41943</c:v>
                </c:pt>
                <c:pt idx="58">
                  <c:v>41971</c:v>
                </c:pt>
                <c:pt idx="59">
                  <c:v>42004</c:v>
                </c:pt>
                <c:pt idx="60">
                  <c:v>42034</c:v>
                </c:pt>
                <c:pt idx="61">
                  <c:v>42062</c:v>
                </c:pt>
                <c:pt idx="62">
                  <c:v>42094</c:v>
                </c:pt>
                <c:pt idx="63">
                  <c:v>42124</c:v>
                </c:pt>
                <c:pt idx="64">
                  <c:v>42153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42307</c:v>
                </c:pt>
                <c:pt idx="70">
                  <c:v>42338</c:v>
                </c:pt>
                <c:pt idx="71">
                  <c:v>42369</c:v>
                </c:pt>
                <c:pt idx="72">
                  <c:v>42398</c:v>
                </c:pt>
                <c:pt idx="73">
                  <c:v>42429</c:v>
                </c:pt>
                <c:pt idx="74">
                  <c:v>42460</c:v>
                </c:pt>
                <c:pt idx="75">
                  <c:v>42489</c:v>
                </c:pt>
                <c:pt idx="76">
                  <c:v>42521</c:v>
                </c:pt>
                <c:pt idx="77">
                  <c:v>42551</c:v>
                </c:pt>
                <c:pt idx="78">
                  <c:v>42580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42734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42853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43007</c:v>
                </c:pt>
                <c:pt idx="93">
                  <c:v>43039</c:v>
                </c:pt>
                <c:pt idx="94">
                  <c:v>43069</c:v>
                </c:pt>
                <c:pt idx="95">
                  <c:v>43098</c:v>
                </c:pt>
                <c:pt idx="96">
                  <c:v>43131</c:v>
                </c:pt>
                <c:pt idx="97">
                  <c:v>43159</c:v>
                </c:pt>
                <c:pt idx="98">
                  <c:v>43189</c:v>
                </c:pt>
                <c:pt idx="99">
                  <c:v>43220</c:v>
                </c:pt>
                <c:pt idx="100">
                  <c:v>43251</c:v>
                </c:pt>
                <c:pt idx="101">
                  <c:v>43280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43403</c:v>
                </c:pt>
                <c:pt idx="106">
                  <c:v>43434</c:v>
                </c:pt>
                <c:pt idx="107">
                  <c:v>43465</c:v>
                </c:pt>
                <c:pt idx="108">
                  <c:v>43495</c:v>
                </c:pt>
                <c:pt idx="109">
                  <c:v>43523</c:v>
                </c:pt>
                <c:pt idx="110">
                  <c:v>43555</c:v>
                </c:pt>
                <c:pt idx="111">
                  <c:v>43585</c:v>
                </c:pt>
                <c:pt idx="112">
                  <c:v>43614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43768</c:v>
                </c:pt>
                <c:pt idx="118">
                  <c:v>43799</c:v>
                </c:pt>
                <c:pt idx="119">
                  <c:v>43830</c:v>
                </c:pt>
                <c:pt idx="120">
                  <c:v>43860</c:v>
                </c:pt>
                <c:pt idx="121">
                  <c:v>43888</c:v>
                </c:pt>
                <c:pt idx="122">
                  <c:v>43921</c:v>
                </c:pt>
                <c:pt idx="123">
                  <c:v>43951</c:v>
                </c:pt>
                <c:pt idx="124">
                  <c:v>43980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44134</c:v>
                </c:pt>
                <c:pt idx="130">
                  <c:v>44165</c:v>
                </c:pt>
                <c:pt idx="131">
                  <c:v>44196</c:v>
                </c:pt>
              </c:numCache>
            </c:numRef>
          </c:cat>
          <c:val>
            <c:numRef>
              <c:f>'Graf 7 + 8'!$J$19:$J$150</c:f>
              <c:numCache>
                <c:formatCode>General</c:formatCode>
                <c:ptCount val="132"/>
                <c:pt idx="0">
                  <c:v>71.459999999999994</c:v>
                </c:pt>
                <c:pt idx="1">
                  <c:v>77.59</c:v>
                </c:pt>
                <c:pt idx="2">
                  <c:v>82.7</c:v>
                </c:pt>
                <c:pt idx="3">
                  <c:v>87.44</c:v>
                </c:pt>
                <c:pt idx="4">
                  <c:v>74.650000000000006</c:v>
                </c:pt>
                <c:pt idx="5">
                  <c:v>75.010000000000005</c:v>
                </c:pt>
                <c:pt idx="6">
                  <c:v>78.180000000000007</c:v>
                </c:pt>
                <c:pt idx="7">
                  <c:v>74.64</c:v>
                </c:pt>
                <c:pt idx="8">
                  <c:v>82.31</c:v>
                </c:pt>
                <c:pt idx="9">
                  <c:v>83.15</c:v>
                </c:pt>
                <c:pt idx="10">
                  <c:v>85.92</c:v>
                </c:pt>
                <c:pt idx="11">
                  <c:v>94.75</c:v>
                </c:pt>
                <c:pt idx="12">
                  <c:v>101.01</c:v>
                </c:pt>
                <c:pt idx="13">
                  <c:v>111.8</c:v>
                </c:pt>
                <c:pt idx="14">
                  <c:v>117.36</c:v>
                </c:pt>
                <c:pt idx="15">
                  <c:v>125.89</c:v>
                </c:pt>
                <c:pt idx="16">
                  <c:v>116.73</c:v>
                </c:pt>
                <c:pt idx="17">
                  <c:v>112.48</c:v>
                </c:pt>
                <c:pt idx="18">
                  <c:v>116.74</c:v>
                </c:pt>
                <c:pt idx="19">
                  <c:v>114.85</c:v>
                </c:pt>
                <c:pt idx="20">
                  <c:v>102.76</c:v>
                </c:pt>
                <c:pt idx="21">
                  <c:v>109.56</c:v>
                </c:pt>
                <c:pt idx="22">
                  <c:v>110.52</c:v>
                </c:pt>
                <c:pt idx="23">
                  <c:v>107.38</c:v>
                </c:pt>
                <c:pt idx="24">
                  <c:v>110.98</c:v>
                </c:pt>
                <c:pt idx="25">
                  <c:v>122.66</c:v>
                </c:pt>
                <c:pt idx="26">
                  <c:v>122.88</c:v>
                </c:pt>
                <c:pt idx="27">
                  <c:v>119.47</c:v>
                </c:pt>
                <c:pt idx="28">
                  <c:v>101.87</c:v>
                </c:pt>
                <c:pt idx="29">
                  <c:v>97.8</c:v>
                </c:pt>
                <c:pt idx="30">
                  <c:v>104.92</c:v>
                </c:pt>
                <c:pt idx="31">
                  <c:v>114.57</c:v>
                </c:pt>
                <c:pt idx="32">
                  <c:v>112.39</c:v>
                </c:pt>
                <c:pt idx="33">
                  <c:v>108.7</c:v>
                </c:pt>
                <c:pt idx="34">
                  <c:v>111.23</c:v>
                </c:pt>
                <c:pt idx="35">
                  <c:v>111.11</c:v>
                </c:pt>
                <c:pt idx="36">
                  <c:v>115.55</c:v>
                </c:pt>
                <c:pt idx="37">
                  <c:v>111.38</c:v>
                </c:pt>
                <c:pt idx="38">
                  <c:v>110.02</c:v>
                </c:pt>
                <c:pt idx="39">
                  <c:v>102.37</c:v>
                </c:pt>
                <c:pt idx="40">
                  <c:v>100.39</c:v>
                </c:pt>
                <c:pt idx="41">
                  <c:v>102.16</c:v>
                </c:pt>
                <c:pt idx="42">
                  <c:v>107.7</c:v>
                </c:pt>
                <c:pt idx="43">
                  <c:v>114.01</c:v>
                </c:pt>
                <c:pt idx="44">
                  <c:v>108.37</c:v>
                </c:pt>
                <c:pt idx="45">
                  <c:v>108.84</c:v>
                </c:pt>
                <c:pt idx="46">
                  <c:v>109.69</c:v>
                </c:pt>
                <c:pt idx="47">
                  <c:v>110.8</c:v>
                </c:pt>
                <c:pt idx="48">
                  <c:v>106.4</c:v>
                </c:pt>
                <c:pt idx="49">
                  <c:v>109.07</c:v>
                </c:pt>
                <c:pt idx="50">
                  <c:v>107.76</c:v>
                </c:pt>
                <c:pt idx="51">
                  <c:v>108.07</c:v>
                </c:pt>
                <c:pt idx="52">
                  <c:v>109.41</c:v>
                </c:pt>
                <c:pt idx="53">
                  <c:v>112.36</c:v>
                </c:pt>
                <c:pt idx="54">
                  <c:v>106.02</c:v>
                </c:pt>
                <c:pt idx="55">
                  <c:v>103.19</c:v>
                </c:pt>
                <c:pt idx="56">
                  <c:v>94.67</c:v>
                </c:pt>
                <c:pt idx="57">
                  <c:v>85.86</c:v>
                </c:pt>
                <c:pt idx="58">
                  <c:v>70.150000000000006</c:v>
                </c:pt>
                <c:pt idx="59">
                  <c:v>57.33</c:v>
                </c:pt>
                <c:pt idx="60">
                  <c:v>52.99</c:v>
                </c:pt>
                <c:pt idx="61">
                  <c:v>62.58</c:v>
                </c:pt>
                <c:pt idx="62">
                  <c:v>55.11</c:v>
                </c:pt>
                <c:pt idx="63">
                  <c:v>66.78</c:v>
                </c:pt>
                <c:pt idx="64">
                  <c:v>65.56</c:v>
                </c:pt>
                <c:pt idx="65">
                  <c:v>63.59</c:v>
                </c:pt>
                <c:pt idx="66">
                  <c:v>52.21</c:v>
                </c:pt>
                <c:pt idx="67">
                  <c:v>54.15</c:v>
                </c:pt>
                <c:pt idx="68">
                  <c:v>48.37</c:v>
                </c:pt>
                <c:pt idx="69">
                  <c:v>49.56</c:v>
                </c:pt>
                <c:pt idx="70">
                  <c:v>44.61</c:v>
                </c:pt>
                <c:pt idx="71">
                  <c:v>37.28</c:v>
                </c:pt>
                <c:pt idx="72">
                  <c:v>34.74</c:v>
                </c:pt>
                <c:pt idx="73">
                  <c:v>35.97</c:v>
                </c:pt>
                <c:pt idx="74">
                  <c:v>39.6</c:v>
                </c:pt>
                <c:pt idx="75">
                  <c:v>48.13</c:v>
                </c:pt>
                <c:pt idx="76">
                  <c:v>49.69</c:v>
                </c:pt>
                <c:pt idx="77">
                  <c:v>49.68</c:v>
                </c:pt>
                <c:pt idx="78">
                  <c:v>42.46</c:v>
                </c:pt>
                <c:pt idx="79">
                  <c:v>47.04</c:v>
                </c:pt>
                <c:pt idx="80">
                  <c:v>49.06</c:v>
                </c:pt>
                <c:pt idx="81">
                  <c:v>48.3</c:v>
                </c:pt>
                <c:pt idx="82">
                  <c:v>50.47</c:v>
                </c:pt>
                <c:pt idx="83">
                  <c:v>56.82</c:v>
                </c:pt>
                <c:pt idx="84">
                  <c:v>55.7</c:v>
                </c:pt>
                <c:pt idx="85">
                  <c:v>55.59</c:v>
                </c:pt>
                <c:pt idx="86">
                  <c:v>52.83</c:v>
                </c:pt>
                <c:pt idx="87">
                  <c:v>51.73</c:v>
                </c:pt>
                <c:pt idx="88">
                  <c:v>50.31</c:v>
                </c:pt>
                <c:pt idx="89">
                  <c:v>47.92</c:v>
                </c:pt>
                <c:pt idx="90">
                  <c:v>52.65</c:v>
                </c:pt>
                <c:pt idx="91" formatCode="0.00">
                  <c:v>52.38</c:v>
                </c:pt>
                <c:pt idx="92" formatCode="0.00">
                  <c:v>57.54</c:v>
                </c:pt>
                <c:pt idx="93">
                  <c:v>61.37</c:v>
                </c:pt>
                <c:pt idx="94">
                  <c:v>63.57</c:v>
                </c:pt>
                <c:pt idx="95">
                  <c:v>66.87</c:v>
                </c:pt>
                <c:pt idx="96">
                  <c:v>69.05</c:v>
                </c:pt>
                <c:pt idx="97">
                  <c:v>65.78</c:v>
                </c:pt>
                <c:pt idx="98">
                  <c:v>70.27</c:v>
                </c:pt>
                <c:pt idx="99">
                  <c:v>75.17</c:v>
                </c:pt>
                <c:pt idx="100">
                  <c:v>77.59</c:v>
                </c:pt>
                <c:pt idx="101">
                  <c:v>79.44</c:v>
                </c:pt>
                <c:pt idx="102">
                  <c:v>74.25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8A-4241-8E24-4FC82878FF28}"/>
            </c:ext>
          </c:extLst>
        </c:ser>
        <c:ser>
          <c:idx val="4"/>
          <c:order val="4"/>
          <c:tx>
            <c:strRef>
              <c:f>'Graf 7 + 8'!$P$18</c:f>
              <c:strCache>
                <c:ptCount val="1"/>
                <c:pt idx="0">
                  <c:v>prognosis 6:2018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7 + 8'!$I$19:$I$150</c:f>
              <c:numCache>
                <c:formatCode>m/d/yyyy</c:formatCode>
                <c:ptCount val="132"/>
                <c:pt idx="0">
                  <c:v>40207</c:v>
                </c:pt>
                <c:pt idx="1">
                  <c:v>40235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40389</c:v>
                </c:pt>
                <c:pt idx="7">
                  <c:v>40421</c:v>
                </c:pt>
                <c:pt idx="8">
                  <c:v>40451</c:v>
                </c:pt>
                <c:pt idx="9">
                  <c:v>40480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40662</c:v>
                </c:pt>
                <c:pt idx="16">
                  <c:v>40694</c:v>
                </c:pt>
                <c:pt idx="17">
                  <c:v>40724</c:v>
                </c:pt>
                <c:pt idx="18">
                  <c:v>40753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40907</c:v>
                </c:pt>
                <c:pt idx="24">
                  <c:v>40939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41060</c:v>
                </c:pt>
                <c:pt idx="29">
                  <c:v>41089</c:v>
                </c:pt>
                <c:pt idx="30">
                  <c:v>41121</c:v>
                </c:pt>
                <c:pt idx="31">
                  <c:v>41152</c:v>
                </c:pt>
                <c:pt idx="32">
                  <c:v>41180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41362</c:v>
                </c:pt>
                <c:pt idx="39">
                  <c:v>41394</c:v>
                </c:pt>
                <c:pt idx="40">
                  <c:v>41425</c:v>
                </c:pt>
                <c:pt idx="41">
                  <c:v>41453</c:v>
                </c:pt>
                <c:pt idx="42">
                  <c:v>41486</c:v>
                </c:pt>
                <c:pt idx="43">
                  <c:v>41516</c:v>
                </c:pt>
                <c:pt idx="44">
                  <c:v>41547</c:v>
                </c:pt>
                <c:pt idx="45">
                  <c:v>41578</c:v>
                </c:pt>
                <c:pt idx="46">
                  <c:v>41607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41789</c:v>
                </c:pt>
                <c:pt idx="53">
                  <c:v>41820</c:v>
                </c:pt>
                <c:pt idx="54">
                  <c:v>41851</c:v>
                </c:pt>
                <c:pt idx="55">
                  <c:v>41880</c:v>
                </c:pt>
                <c:pt idx="56">
                  <c:v>41912</c:v>
                </c:pt>
                <c:pt idx="57">
                  <c:v>41943</c:v>
                </c:pt>
                <c:pt idx="58">
                  <c:v>41971</c:v>
                </c:pt>
                <c:pt idx="59">
                  <c:v>42004</c:v>
                </c:pt>
                <c:pt idx="60">
                  <c:v>42034</c:v>
                </c:pt>
                <c:pt idx="61">
                  <c:v>42062</c:v>
                </c:pt>
                <c:pt idx="62">
                  <c:v>42094</c:v>
                </c:pt>
                <c:pt idx="63">
                  <c:v>42124</c:v>
                </c:pt>
                <c:pt idx="64">
                  <c:v>42153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42307</c:v>
                </c:pt>
                <c:pt idx="70">
                  <c:v>42338</c:v>
                </c:pt>
                <c:pt idx="71">
                  <c:v>42369</c:v>
                </c:pt>
                <c:pt idx="72">
                  <c:v>42398</c:v>
                </c:pt>
                <c:pt idx="73">
                  <c:v>42429</c:v>
                </c:pt>
                <c:pt idx="74">
                  <c:v>42460</c:v>
                </c:pt>
                <c:pt idx="75">
                  <c:v>42489</c:v>
                </c:pt>
                <c:pt idx="76">
                  <c:v>42521</c:v>
                </c:pt>
                <c:pt idx="77">
                  <c:v>42551</c:v>
                </c:pt>
                <c:pt idx="78">
                  <c:v>42580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42734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42853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43007</c:v>
                </c:pt>
                <c:pt idx="93">
                  <c:v>43039</c:v>
                </c:pt>
                <c:pt idx="94">
                  <c:v>43069</c:v>
                </c:pt>
                <c:pt idx="95">
                  <c:v>43098</c:v>
                </c:pt>
                <c:pt idx="96">
                  <c:v>43131</c:v>
                </c:pt>
                <c:pt idx="97">
                  <c:v>43159</c:v>
                </c:pt>
                <c:pt idx="98">
                  <c:v>43189</c:v>
                </c:pt>
                <c:pt idx="99">
                  <c:v>43220</c:v>
                </c:pt>
                <c:pt idx="100">
                  <c:v>43251</c:v>
                </c:pt>
                <c:pt idx="101">
                  <c:v>43280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43403</c:v>
                </c:pt>
                <c:pt idx="106">
                  <c:v>43434</c:v>
                </c:pt>
                <c:pt idx="107">
                  <c:v>43465</c:v>
                </c:pt>
                <c:pt idx="108">
                  <c:v>43495</c:v>
                </c:pt>
                <c:pt idx="109">
                  <c:v>43523</c:v>
                </c:pt>
                <c:pt idx="110">
                  <c:v>43555</c:v>
                </c:pt>
                <c:pt idx="111">
                  <c:v>43585</c:v>
                </c:pt>
                <c:pt idx="112">
                  <c:v>43614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43768</c:v>
                </c:pt>
                <c:pt idx="118">
                  <c:v>43799</c:v>
                </c:pt>
                <c:pt idx="119">
                  <c:v>43830</c:v>
                </c:pt>
                <c:pt idx="120">
                  <c:v>43860</c:v>
                </c:pt>
                <c:pt idx="121">
                  <c:v>43888</c:v>
                </c:pt>
                <c:pt idx="122">
                  <c:v>43921</c:v>
                </c:pt>
                <c:pt idx="123">
                  <c:v>43951</c:v>
                </c:pt>
                <c:pt idx="124">
                  <c:v>43980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44134</c:v>
                </c:pt>
                <c:pt idx="130">
                  <c:v>44165</c:v>
                </c:pt>
                <c:pt idx="131">
                  <c:v>44196</c:v>
                </c:pt>
              </c:numCache>
            </c:numRef>
          </c:cat>
          <c:val>
            <c:numRef>
              <c:f>'Graf 7 + 8'!$P$19:$P$162</c:f>
              <c:numCache>
                <c:formatCode>General</c:formatCode>
                <c:ptCount val="144"/>
                <c:pt idx="99">
                  <c:v>75.17</c:v>
                </c:pt>
                <c:pt idx="100">
                  <c:v>75.63</c:v>
                </c:pt>
                <c:pt idx="101">
                  <c:v>75.63</c:v>
                </c:pt>
                <c:pt idx="102">
                  <c:v>75.63</c:v>
                </c:pt>
                <c:pt idx="103">
                  <c:v>75.67</c:v>
                </c:pt>
                <c:pt idx="104">
                  <c:v>75.349999999999994</c:v>
                </c:pt>
                <c:pt idx="105">
                  <c:v>74.989999999999995</c:v>
                </c:pt>
                <c:pt idx="106">
                  <c:v>74.66</c:v>
                </c:pt>
                <c:pt idx="107">
                  <c:v>74.33</c:v>
                </c:pt>
                <c:pt idx="108">
                  <c:v>73.959999999999994</c:v>
                </c:pt>
                <c:pt idx="109">
                  <c:v>73.59</c:v>
                </c:pt>
                <c:pt idx="110">
                  <c:v>73.25</c:v>
                </c:pt>
                <c:pt idx="111">
                  <c:v>72.92</c:v>
                </c:pt>
                <c:pt idx="112">
                  <c:v>72.56</c:v>
                </c:pt>
                <c:pt idx="113">
                  <c:v>72.19</c:v>
                </c:pt>
                <c:pt idx="114">
                  <c:v>71.88</c:v>
                </c:pt>
                <c:pt idx="115">
                  <c:v>71.569999999999993</c:v>
                </c:pt>
                <c:pt idx="116">
                  <c:v>71.22</c:v>
                </c:pt>
                <c:pt idx="117">
                  <c:v>70.91</c:v>
                </c:pt>
                <c:pt idx="118">
                  <c:v>70.58</c:v>
                </c:pt>
                <c:pt idx="119">
                  <c:v>70.19</c:v>
                </c:pt>
                <c:pt idx="120">
                  <c:v>69.88</c:v>
                </c:pt>
                <c:pt idx="121">
                  <c:v>69.599999999999994</c:v>
                </c:pt>
                <c:pt idx="122">
                  <c:v>69.33</c:v>
                </c:pt>
                <c:pt idx="123">
                  <c:v>69.069999999999993</c:v>
                </c:pt>
                <c:pt idx="124">
                  <c:v>68.84</c:v>
                </c:pt>
                <c:pt idx="125">
                  <c:v>68.61</c:v>
                </c:pt>
                <c:pt idx="126">
                  <c:v>68.33</c:v>
                </c:pt>
                <c:pt idx="127">
                  <c:v>68.06</c:v>
                </c:pt>
                <c:pt idx="128">
                  <c:v>67.83</c:v>
                </c:pt>
                <c:pt idx="129">
                  <c:v>67.59</c:v>
                </c:pt>
                <c:pt idx="130">
                  <c:v>67.37</c:v>
                </c:pt>
                <c:pt idx="131">
                  <c:v>67.11</c:v>
                </c:pt>
                <c:pt idx="132">
                  <c:v>66.86</c:v>
                </c:pt>
                <c:pt idx="133">
                  <c:v>66.59</c:v>
                </c:pt>
                <c:pt idx="134">
                  <c:v>66.400000000000006</c:v>
                </c:pt>
                <c:pt idx="135">
                  <c:v>66.25</c:v>
                </c:pt>
                <c:pt idx="136">
                  <c:v>66.11</c:v>
                </c:pt>
                <c:pt idx="137">
                  <c:v>65.97</c:v>
                </c:pt>
                <c:pt idx="138">
                  <c:v>65.790000000000006</c:v>
                </c:pt>
                <c:pt idx="139">
                  <c:v>65.61</c:v>
                </c:pt>
                <c:pt idx="140">
                  <c:v>65.430000000000007</c:v>
                </c:pt>
                <c:pt idx="141">
                  <c:v>65.27</c:v>
                </c:pt>
                <c:pt idx="142">
                  <c:v>65.11</c:v>
                </c:pt>
                <c:pt idx="143">
                  <c:v>64.94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8A-4241-8E24-4FC82878FF28}"/>
            </c:ext>
          </c:extLst>
        </c:ser>
        <c:ser>
          <c:idx val="5"/>
          <c:order val="5"/>
          <c:tx>
            <c:strRef>
              <c:f>'Graf 7 + 8'!$Q$18</c:f>
              <c:strCache>
                <c:ptCount val="1"/>
                <c:pt idx="0">
                  <c:v>prognosis 9:2018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7 + 8'!$I$19:$I$150</c:f>
              <c:numCache>
                <c:formatCode>m/d/yyyy</c:formatCode>
                <c:ptCount val="132"/>
                <c:pt idx="0">
                  <c:v>40207</c:v>
                </c:pt>
                <c:pt idx="1">
                  <c:v>40235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40389</c:v>
                </c:pt>
                <c:pt idx="7">
                  <c:v>40421</c:v>
                </c:pt>
                <c:pt idx="8">
                  <c:v>40451</c:v>
                </c:pt>
                <c:pt idx="9">
                  <c:v>40480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40662</c:v>
                </c:pt>
                <c:pt idx="16">
                  <c:v>40694</c:v>
                </c:pt>
                <c:pt idx="17">
                  <c:v>40724</c:v>
                </c:pt>
                <c:pt idx="18">
                  <c:v>40753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40907</c:v>
                </c:pt>
                <c:pt idx="24">
                  <c:v>40939</c:v>
                </c:pt>
                <c:pt idx="25">
                  <c:v>40968</c:v>
                </c:pt>
                <c:pt idx="26">
                  <c:v>40998</c:v>
                </c:pt>
                <c:pt idx="27">
                  <c:v>41029</c:v>
                </c:pt>
                <c:pt idx="28">
                  <c:v>41060</c:v>
                </c:pt>
                <c:pt idx="29">
                  <c:v>41089</c:v>
                </c:pt>
                <c:pt idx="30">
                  <c:v>41121</c:v>
                </c:pt>
                <c:pt idx="31">
                  <c:v>41152</c:v>
                </c:pt>
                <c:pt idx="32">
                  <c:v>41180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41362</c:v>
                </c:pt>
                <c:pt idx="39">
                  <c:v>41394</c:v>
                </c:pt>
                <c:pt idx="40">
                  <c:v>41425</c:v>
                </c:pt>
                <c:pt idx="41">
                  <c:v>41453</c:v>
                </c:pt>
                <c:pt idx="42">
                  <c:v>41486</c:v>
                </c:pt>
                <c:pt idx="43">
                  <c:v>41516</c:v>
                </c:pt>
                <c:pt idx="44">
                  <c:v>41547</c:v>
                </c:pt>
                <c:pt idx="45">
                  <c:v>41578</c:v>
                </c:pt>
                <c:pt idx="46">
                  <c:v>41607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41789</c:v>
                </c:pt>
                <c:pt idx="53">
                  <c:v>41820</c:v>
                </c:pt>
                <c:pt idx="54">
                  <c:v>41851</c:v>
                </c:pt>
                <c:pt idx="55">
                  <c:v>41880</c:v>
                </c:pt>
                <c:pt idx="56">
                  <c:v>41912</c:v>
                </c:pt>
                <c:pt idx="57">
                  <c:v>41943</c:v>
                </c:pt>
                <c:pt idx="58">
                  <c:v>41971</c:v>
                </c:pt>
                <c:pt idx="59">
                  <c:v>42004</c:v>
                </c:pt>
                <c:pt idx="60">
                  <c:v>42034</c:v>
                </c:pt>
                <c:pt idx="61">
                  <c:v>42062</c:v>
                </c:pt>
                <c:pt idx="62">
                  <c:v>42094</c:v>
                </c:pt>
                <c:pt idx="63">
                  <c:v>42124</c:v>
                </c:pt>
                <c:pt idx="64">
                  <c:v>42153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42307</c:v>
                </c:pt>
                <c:pt idx="70">
                  <c:v>42338</c:v>
                </c:pt>
                <c:pt idx="71">
                  <c:v>42369</c:v>
                </c:pt>
                <c:pt idx="72">
                  <c:v>42398</c:v>
                </c:pt>
                <c:pt idx="73">
                  <c:v>42429</c:v>
                </c:pt>
                <c:pt idx="74">
                  <c:v>42460</c:v>
                </c:pt>
                <c:pt idx="75">
                  <c:v>42489</c:v>
                </c:pt>
                <c:pt idx="76">
                  <c:v>42521</c:v>
                </c:pt>
                <c:pt idx="77">
                  <c:v>42551</c:v>
                </c:pt>
                <c:pt idx="78">
                  <c:v>42580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42734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42853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43007</c:v>
                </c:pt>
                <c:pt idx="93">
                  <c:v>43039</c:v>
                </c:pt>
                <c:pt idx="94">
                  <c:v>43069</c:v>
                </c:pt>
                <c:pt idx="95">
                  <c:v>43098</c:v>
                </c:pt>
                <c:pt idx="96">
                  <c:v>43131</c:v>
                </c:pt>
                <c:pt idx="97">
                  <c:v>43159</c:v>
                </c:pt>
                <c:pt idx="98">
                  <c:v>43189</c:v>
                </c:pt>
                <c:pt idx="99">
                  <c:v>43220</c:v>
                </c:pt>
                <c:pt idx="100">
                  <c:v>43251</c:v>
                </c:pt>
                <c:pt idx="101">
                  <c:v>43280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43403</c:v>
                </c:pt>
                <c:pt idx="106">
                  <c:v>43434</c:v>
                </c:pt>
                <c:pt idx="107">
                  <c:v>43465</c:v>
                </c:pt>
                <c:pt idx="108">
                  <c:v>43495</c:v>
                </c:pt>
                <c:pt idx="109">
                  <c:v>43523</c:v>
                </c:pt>
                <c:pt idx="110">
                  <c:v>43555</c:v>
                </c:pt>
                <c:pt idx="111">
                  <c:v>43585</c:v>
                </c:pt>
                <c:pt idx="112">
                  <c:v>43614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43768</c:v>
                </c:pt>
                <c:pt idx="118">
                  <c:v>43799</c:v>
                </c:pt>
                <c:pt idx="119">
                  <c:v>43830</c:v>
                </c:pt>
                <c:pt idx="120">
                  <c:v>43860</c:v>
                </c:pt>
                <c:pt idx="121">
                  <c:v>43888</c:v>
                </c:pt>
                <c:pt idx="122">
                  <c:v>43921</c:v>
                </c:pt>
                <c:pt idx="123">
                  <c:v>43951</c:v>
                </c:pt>
                <c:pt idx="124">
                  <c:v>43980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44134</c:v>
                </c:pt>
                <c:pt idx="130">
                  <c:v>44165</c:v>
                </c:pt>
                <c:pt idx="131">
                  <c:v>44196</c:v>
                </c:pt>
              </c:numCache>
            </c:numRef>
          </c:cat>
          <c:val>
            <c:numRef>
              <c:f>'Graf 7 + 8'!$Q$19:$Q$162</c:f>
              <c:numCache>
                <c:formatCode>General</c:formatCode>
                <c:ptCount val="144"/>
                <c:pt idx="102">
                  <c:v>74.25</c:v>
                </c:pt>
                <c:pt idx="103">
                  <c:v>73.646666666666661</c:v>
                </c:pt>
                <c:pt idx="104">
                  <c:v>73.043333333333322</c:v>
                </c:pt>
                <c:pt idx="105">
                  <c:v>72.44</c:v>
                </c:pt>
                <c:pt idx="106">
                  <c:v>72.75</c:v>
                </c:pt>
                <c:pt idx="107">
                  <c:v>72.81</c:v>
                </c:pt>
                <c:pt idx="108">
                  <c:v>72.78</c:v>
                </c:pt>
                <c:pt idx="109">
                  <c:v>72.7</c:v>
                </c:pt>
                <c:pt idx="110">
                  <c:v>72.540000000000006</c:v>
                </c:pt>
                <c:pt idx="111">
                  <c:v>72.36</c:v>
                </c:pt>
                <c:pt idx="112">
                  <c:v>72.16</c:v>
                </c:pt>
                <c:pt idx="113">
                  <c:v>71.930000000000007</c:v>
                </c:pt>
                <c:pt idx="114">
                  <c:v>71.73</c:v>
                </c:pt>
                <c:pt idx="115">
                  <c:v>71.53</c:v>
                </c:pt>
                <c:pt idx="116">
                  <c:v>71.33</c:v>
                </c:pt>
                <c:pt idx="117">
                  <c:v>71.11</c:v>
                </c:pt>
                <c:pt idx="118">
                  <c:v>70.91</c:v>
                </c:pt>
                <c:pt idx="119">
                  <c:v>70.67</c:v>
                </c:pt>
                <c:pt idx="120">
                  <c:v>70.44</c:v>
                </c:pt>
                <c:pt idx="121">
                  <c:v>70.22</c:v>
                </c:pt>
                <c:pt idx="122">
                  <c:v>70</c:v>
                </c:pt>
                <c:pt idx="123">
                  <c:v>69.75</c:v>
                </c:pt>
                <c:pt idx="124">
                  <c:v>69.52</c:v>
                </c:pt>
                <c:pt idx="125">
                  <c:v>69.290000000000006</c:v>
                </c:pt>
                <c:pt idx="126">
                  <c:v>69.040000000000006</c:v>
                </c:pt>
                <c:pt idx="127">
                  <c:v>68.81</c:v>
                </c:pt>
                <c:pt idx="128">
                  <c:v>68.58</c:v>
                </c:pt>
                <c:pt idx="129">
                  <c:v>68.34</c:v>
                </c:pt>
                <c:pt idx="130">
                  <c:v>68.14</c:v>
                </c:pt>
                <c:pt idx="131">
                  <c:v>67.91</c:v>
                </c:pt>
                <c:pt idx="132">
                  <c:v>67.709999999999994</c:v>
                </c:pt>
                <c:pt idx="133">
                  <c:v>67.52</c:v>
                </c:pt>
                <c:pt idx="134">
                  <c:v>67.36</c:v>
                </c:pt>
                <c:pt idx="135">
                  <c:v>67.209999999999994</c:v>
                </c:pt>
                <c:pt idx="136">
                  <c:v>67.06</c:v>
                </c:pt>
                <c:pt idx="137">
                  <c:v>66.91</c:v>
                </c:pt>
                <c:pt idx="138">
                  <c:v>66.760000000000005</c:v>
                </c:pt>
                <c:pt idx="139">
                  <c:v>66.599999999999994</c:v>
                </c:pt>
                <c:pt idx="140">
                  <c:v>66.44</c:v>
                </c:pt>
                <c:pt idx="141">
                  <c:v>66.290000000000006</c:v>
                </c:pt>
                <c:pt idx="142">
                  <c:v>66.13</c:v>
                </c:pt>
                <c:pt idx="143">
                  <c:v>65.97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F8A-4241-8E24-4FC82878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931312"/>
        <c:axId val="91493170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3 + 4'!#REF!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>
                    <a:solidFill>
                      <a:srgbClr val="C6D9F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7 + 8'!$I$19:$I$150</c15:sqref>
                        </c15:formulaRef>
                      </c:ext>
                    </c:extLst>
                    <c:numCache>
                      <c:formatCode>m/d/yyyy</c:formatCode>
                      <c:ptCount val="132"/>
                      <c:pt idx="0">
                        <c:v>40207</c:v>
                      </c:pt>
                      <c:pt idx="1">
                        <c:v>40235</c:v>
                      </c:pt>
                      <c:pt idx="2">
                        <c:v>40268</c:v>
                      </c:pt>
                      <c:pt idx="3">
                        <c:v>40298</c:v>
                      </c:pt>
                      <c:pt idx="4">
                        <c:v>40329</c:v>
                      </c:pt>
                      <c:pt idx="5">
                        <c:v>40359</c:v>
                      </c:pt>
                      <c:pt idx="6">
                        <c:v>40389</c:v>
                      </c:pt>
                      <c:pt idx="7">
                        <c:v>40421</c:v>
                      </c:pt>
                      <c:pt idx="8">
                        <c:v>40451</c:v>
                      </c:pt>
                      <c:pt idx="9">
                        <c:v>40480</c:v>
                      </c:pt>
                      <c:pt idx="10">
                        <c:v>40512</c:v>
                      </c:pt>
                      <c:pt idx="11">
                        <c:v>40543</c:v>
                      </c:pt>
                      <c:pt idx="12">
                        <c:v>40574</c:v>
                      </c:pt>
                      <c:pt idx="13">
                        <c:v>40602</c:v>
                      </c:pt>
                      <c:pt idx="14">
                        <c:v>40633</c:v>
                      </c:pt>
                      <c:pt idx="15">
                        <c:v>40662</c:v>
                      </c:pt>
                      <c:pt idx="16">
                        <c:v>40694</c:v>
                      </c:pt>
                      <c:pt idx="17">
                        <c:v>40724</c:v>
                      </c:pt>
                      <c:pt idx="18">
                        <c:v>40753</c:v>
                      </c:pt>
                      <c:pt idx="19">
                        <c:v>40786</c:v>
                      </c:pt>
                      <c:pt idx="20">
                        <c:v>40816</c:v>
                      </c:pt>
                      <c:pt idx="21">
                        <c:v>40847</c:v>
                      </c:pt>
                      <c:pt idx="22">
                        <c:v>40877</c:v>
                      </c:pt>
                      <c:pt idx="23">
                        <c:v>40907</c:v>
                      </c:pt>
                      <c:pt idx="24">
                        <c:v>40939</c:v>
                      </c:pt>
                      <c:pt idx="25">
                        <c:v>40968</c:v>
                      </c:pt>
                      <c:pt idx="26">
                        <c:v>40998</c:v>
                      </c:pt>
                      <c:pt idx="27">
                        <c:v>41029</c:v>
                      </c:pt>
                      <c:pt idx="28">
                        <c:v>41060</c:v>
                      </c:pt>
                      <c:pt idx="29">
                        <c:v>41089</c:v>
                      </c:pt>
                      <c:pt idx="30">
                        <c:v>41121</c:v>
                      </c:pt>
                      <c:pt idx="31">
                        <c:v>41152</c:v>
                      </c:pt>
                      <c:pt idx="32">
                        <c:v>41180</c:v>
                      </c:pt>
                      <c:pt idx="33">
                        <c:v>41213</c:v>
                      </c:pt>
                      <c:pt idx="34">
                        <c:v>41243</c:v>
                      </c:pt>
                      <c:pt idx="35">
                        <c:v>41274</c:v>
                      </c:pt>
                      <c:pt idx="36">
                        <c:v>41305</c:v>
                      </c:pt>
                      <c:pt idx="37">
                        <c:v>41333</c:v>
                      </c:pt>
                      <c:pt idx="38">
                        <c:v>41362</c:v>
                      </c:pt>
                      <c:pt idx="39">
                        <c:v>41394</c:v>
                      </c:pt>
                      <c:pt idx="40">
                        <c:v>41425</c:v>
                      </c:pt>
                      <c:pt idx="41">
                        <c:v>41453</c:v>
                      </c:pt>
                      <c:pt idx="42">
                        <c:v>41486</c:v>
                      </c:pt>
                      <c:pt idx="43">
                        <c:v>41516</c:v>
                      </c:pt>
                      <c:pt idx="44">
                        <c:v>41547</c:v>
                      </c:pt>
                      <c:pt idx="45">
                        <c:v>41578</c:v>
                      </c:pt>
                      <c:pt idx="46">
                        <c:v>41607</c:v>
                      </c:pt>
                      <c:pt idx="47">
                        <c:v>41639</c:v>
                      </c:pt>
                      <c:pt idx="48">
                        <c:v>41670</c:v>
                      </c:pt>
                      <c:pt idx="49">
                        <c:v>41698</c:v>
                      </c:pt>
                      <c:pt idx="50">
                        <c:v>41729</c:v>
                      </c:pt>
                      <c:pt idx="51">
                        <c:v>41759</c:v>
                      </c:pt>
                      <c:pt idx="52">
                        <c:v>41789</c:v>
                      </c:pt>
                      <c:pt idx="53">
                        <c:v>41820</c:v>
                      </c:pt>
                      <c:pt idx="54">
                        <c:v>41851</c:v>
                      </c:pt>
                      <c:pt idx="55">
                        <c:v>41880</c:v>
                      </c:pt>
                      <c:pt idx="56">
                        <c:v>41912</c:v>
                      </c:pt>
                      <c:pt idx="57">
                        <c:v>41943</c:v>
                      </c:pt>
                      <c:pt idx="58">
                        <c:v>41971</c:v>
                      </c:pt>
                      <c:pt idx="59">
                        <c:v>42004</c:v>
                      </c:pt>
                      <c:pt idx="60">
                        <c:v>42034</c:v>
                      </c:pt>
                      <c:pt idx="61">
                        <c:v>42062</c:v>
                      </c:pt>
                      <c:pt idx="62">
                        <c:v>42094</c:v>
                      </c:pt>
                      <c:pt idx="63">
                        <c:v>42124</c:v>
                      </c:pt>
                      <c:pt idx="64">
                        <c:v>42153</c:v>
                      </c:pt>
                      <c:pt idx="65">
                        <c:v>42185</c:v>
                      </c:pt>
                      <c:pt idx="66">
                        <c:v>42216</c:v>
                      </c:pt>
                      <c:pt idx="67">
                        <c:v>42247</c:v>
                      </c:pt>
                      <c:pt idx="68">
                        <c:v>42277</c:v>
                      </c:pt>
                      <c:pt idx="69">
                        <c:v>42307</c:v>
                      </c:pt>
                      <c:pt idx="70">
                        <c:v>42338</c:v>
                      </c:pt>
                      <c:pt idx="71">
                        <c:v>42369</c:v>
                      </c:pt>
                      <c:pt idx="72">
                        <c:v>42398</c:v>
                      </c:pt>
                      <c:pt idx="73">
                        <c:v>42429</c:v>
                      </c:pt>
                      <c:pt idx="74">
                        <c:v>42460</c:v>
                      </c:pt>
                      <c:pt idx="75">
                        <c:v>42489</c:v>
                      </c:pt>
                      <c:pt idx="76">
                        <c:v>42521</c:v>
                      </c:pt>
                      <c:pt idx="77">
                        <c:v>42551</c:v>
                      </c:pt>
                      <c:pt idx="78">
                        <c:v>42580</c:v>
                      </c:pt>
                      <c:pt idx="79">
                        <c:v>42613</c:v>
                      </c:pt>
                      <c:pt idx="80">
                        <c:v>42643</c:v>
                      </c:pt>
                      <c:pt idx="81">
                        <c:v>42674</c:v>
                      </c:pt>
                      <c:pt idx="82">
                        <c:v>42704</c:v>
                      </c:pt>
                      <c:pt idx="83">
                        <c:v>42734</c:v>
                      </c:pt>
                      <c:pt idx="84">
                        <c:v>42766</c:v>
                      </c:pt>
                      <c:pt idx="85">
                        <c:v>42794</c:v>
                      </c:pt>
                      <c:pt idx="86">
                        <c:v>42825</c:v>
                      </c:pt>
                      <c:pt idx="87">
                        <c:v>42853</c:v>
                      </c:pt>
                      <c:pt idx="88">
                        <c:v>42886</c:v>
                      </c:pt>
                      <c:pt idx="89">
                        <c:v>42916</c:v>
                      </c:pt>
                      <c:pt idx="90">
                        <c:v>42947</c:v>
                      </c:pt>
                      <c:pt idx="91">
                        <c:v>42978</c:v>
                      </c:pt>
                      <c:pt idx="92">
                        <c:v>43007</c:v>
                      </c:pt>
                      <c:pt idx="93">
                        <c:v>43039</c:v>
                      </c:pt>
                      <c:pt idx="94">
                        <c:v>43069</c:v>
                      </c:pt>
                      <c:pt idx="95">
                        <c:v>43098</c:v>
                      </c:pt>
                      <c:pt idx="96">
                        <c:v>43131</c:v>
                      </c:pt>
                      <c:pt idx="97">
                        <c:v>43159</c:v>
                      </c:pt>
                      <c:pt idx="98">
                        <c:v>43189</c:v>
                      </c:pt>
                      <c:pt idx="99">
                        <c:v>43220</c:v>
                      </c:pt>
                      <c:pt idx="100">
                        <c:v>43251</c:v>
                      </c:pt>
                      <c:pt idx="101">
                        <c:v>43280</c:v>
                      </c:pt>
                      <c:pt idx="102">
                        <c:v>43312</c:v>
                      </c:pt>
                      <c:pt idx="103">
                        <c:v>43343</c:v>
                      </c:pt>
                      <c:pt idx="104">
                        <c:v>43373</c:v>
                      </c:pt>
                      <c:pt idx="105">
                        <c:v>43403</c:v>
                      </c:pt>
                      <c:pt idx="106">
                        <c:v>43434</c:v>
                      </c:pt>
                      <c:pt idx="107">
                        <c:v>43465</c:v>
                      </c:pt>
                      <c:pt idx="108">
                        <c:v>43495</c:v>
                      </c:pt>
                      <c:pt idx="109">
                        <c:v>43523</c:v>
                      </c:pt>
                      <c:pt idx="110">
                        <c:v>43555</c:v>
                      </c:pt>
                      <c:pt idx="111">
                        <c:v>43585</c:v>
                      </c:pt>
                      <c:pt idx="112">
                        <c:v>43614</c:v>
                      </c:pt>
                      <c:pt idx="113">
                        <c:v>43646</c:v>
                      </c:pt>
                      <c:pt idx="114">
                        <c:v>43677</c:v>
                      </c:pt>
                      <c:pt idx="115">
                        <c:v>43708</c:v>
                      </c:pt>
                      <c:pt idx="116">
                        <c:v>43738</c:v>
                      </c:pt>
                      <c:pt idx="117">
                        <c:v>43768</c:v>
                      </c:pt>
                      <c:pt idx="118">
                        <c:v>43799</c:v>
                      </c:pt>
                      <c:pt idx="119">
                        <c:v>43830</c:v>
                      </c:pt>
                      <c:pt idx="120">
                        <c:v>43860</c:v>
                      </c:pt>
                      <c:pt idx="121">
                        <c:v>43888</c:v>
                      </c:pt>
                      <c:pt idx="122">
                        <c:v>43921</c:v>
                      </c:pt>
                      <c:pt idx="123">
                        <c:v>43951</c:v>
                      </c:pt>
                      <c:pt idx="124">
                        <c:v>43980</c:v>
                      </c:pt>
                      <c:pt idx="125">
                        <c:v>44012</c:v>
                      </c:pt>
                      <c:pt idx="126">
                        <c:v>44043</c:v>
                      </c:pt>
                      <c:pt idx="127">
                        <c:v>44074</c:v>
                      </c:pt>
                      <c:pt idx="128">
                        <c:v>44104</c:v>
                      </c:pt>
                      <c:pt idx="129">
                        <c:v>44134</c:v>
                      </c:pt>
                      <c:pt idx="130">
                        <c:v>44165</c:v>
                      </c:pt>
                      <c:pt idx="131">
                        <c:v>44196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3 + 4'!#REF!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FF8A-4241-8E24-4FC82878FF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7 + 8'!$K$18</c15:sqref>
                        </c15:formulaRef>
                      </c:ext>
                    </c:extLst>
                    <c:strCache>
                      <c:ptCount val="1"/>
                      <c:pt idx="0">
                        <c:v>prognosis 8:2016</c:v>
                      </c:pt>
                    </c:strCache>
                  </c:strRef>
                </c:tx>
                <c:spPr>
                  <a:ln w="19050" cap="rnd">
                    <a:solidFill>
                      <a:srgbClr val="7F7F7F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7 + 8'!$I$19:$I$150</c15:sqref>
                        </c15:formulaRef>
                      </c:ext>
                    </c:extLst>
                    <c:numCache>
                      <c:formatCode>m/d/yyyy</c:formatCode>
                      <c:ptCount val="132"/>
                      <c:pt idx="0">
                        <c:v>40207</c:v>
                      </c:pt>
                      <c:pt idx="1">
                        <c:v>40235</c:v>
                      </c:pt>
                      <c:pt idx="2">
                        <c:v>40268</c:v>
                      </c:pt>
                      <c:pt idx="3">
                        <c:v>40298</c:v>
                      </c:pt>
                      <c:pt idx="4">
                        <c:v>40329</c:v>
                      </c:pt>
                      <c:pt idx="5">
                        <c:v>40359</c:v>
                      </c:pt>
                      <c:pt idx="6">
                        <c:v>40389</c:v>
                      </c:pt>
                      <c:pt idx="7">
                        <c:v>40421</c:v>
                      </c:pt>
                      <c:pt idx="8">
                        <c:v>40451</c:v>
                      </c:pt>
                      <c:pt idx="9">
                        <c:v>40480</c:v>
                      </c:pt>
                      <c:pt idx="10">
                        <c:v>40512</c:v>
                      </c:pt>
                      <c:pt idx="11">
                        <c:v>40543</c:v>
                      </c:pt>
                      <c:pt idx="12">
                        <c:v>40574</c:v>
                      </c:pt>
                      <c:pt idx="13">
                        <c:v>40602</c:v>
                      </c:pt>
                      <c:pt idx="14">
                        <c:v>40633</c:v>
                      </c:pt>
                      <c:pt idx="15">
                        <c:v>40662</c:v>
                      </c:pt>
                      <c:pt idx="16">
                        <c:v>40694</c:v>
                      </c:pt>
                      <c:pt idx="17">
                        <c:v>40724</c:v>
                      </c:pt>
                      <c:pt idx="18">
                        <c:v>40753</c:v>
                      </c:pt>
                      <c:pt idx="19">
                        <c:v>40786</c:v>
                      </c:pt>
                      <c:pt idx="20">
                        <c:v>40816</c:v>
                      </c:pt>
                      <c:pt idx="21">
                        <c:v>40847</c:v>
                      </c:pt>
                      <c:pt idx="22">
                        <c:v>40877</c:v>
                      </c:pt>
                      <c:pt idx="23">
                        <c:v>40907</c:v>
                      </c:pt>
                      <c:pt idx="24">
                        <c:v>40939</c:v>
                      </c:pt>
                      <c:pt idx="25">
                        <c:v>40968</c:v>
                      </c:pt>
                      <c:pt idx="26">
                        <c:v>40998</c:v>
                      </c:pt>
                      <c:pt idx="27">
                        <c:v>41029</c:v>
                      </c:pt>
                      <c:pt idx="28">
                        <c:v>41060</c:v>
                      </c:pt>
                      <c:pt idx="29">
                        <c:v>41089</c:v>
                      </c:pt>
                      <c:pt idx="30">
                        <c:v>41121</c:v>
                      </c:pt>
                      <c:pt idx="31">
                        <c:v>41152</c:v>
                      </c:pt>
                      <c:pt idx="32">
                        <c:v>41180</c:v>
                      </c:pt>
                      <c:pt idx="33">
                        <c:v>41213</c:v>
                      </c:pt>
                      <c:pt idx="34">
                        <c:v>41243</c:v>
                      </c:pt>
                      <c:pt idx="35">
                        <c:v>41274</c:v>
                      </c:pt>
                      <c:pt idx="36">
                        <c:v>41305</c:v>
                      </c:pt>
                      <c:pt idx="37">
                        <c:v>41333</c:v>
                      </c:pt>
                      <c:pt idx="38">
                        <c:v>41362</c:v>
                      </c:pt>
                      <c:pt idx="39">
                        <c:v>41394</c:v>
                      </c:pt>
                      <c:pt idx="40">
                        <c:v>41425</c:v>
                      </c:pt>
                      <c:pt idx="41">
                        <c:v>41453</c:v>
                      </c:pt>
                      <c:pt idx="42">
                        <c:v>41486</c:v>
                      </c:pt>
                      <c:pt idx="43">
                        <c:v>41516</c:v>
                      </c:pt>
                      <c:pt idx="44">
                        <c:v>41547</c:v>
                      </c:pt>
                      <c:pt idx="45">
                        <c:v>41578</c:v>
                      </c:pt>
                      <c:pt idx="46">
                        <c:v>41607</c:v>
                      </c:pt>
                      <c:pt idx="47">
                        <c:v>41639</c:v>
                      </c:pt>
                      <c:pt idx="48">
                        <c:v>41670</c:v>
                      </c:pt>
                      <c:pt idx="49">
                        <c:v>41698</c:v>
                      </c:pt>
                      <c:pt idx="50">
                        <c:v>41729</c:v>
                      </c:pt>
                      <c:pt idx="51">
                        <c:v>41759</c:v>
                      </c:pt>
                      <c:pt idx="52">
                        <c:v>41789</c:v>
                      </c:pt>
                      <c:pt idx="53">
                        <c:v>41820</c:v>
                      </c:pt>
                      <c:pt idx="54">
                        <c:v>41851</c:v>
                      </c:pt>
                      <c:pt idx="55">
                        <c:v>41880</c:v>
                      </c:pt>
                      <c:pt idx="56">
                        <c:v>41912</c:v>
                      </c:pt>
                      <c:pt idx="57">
                        <c:v>41943</c:v>
                      </c:pt>
                      <c:pt idx="58">
                        <c:v>41971</c:v>
                      </c:pt>
                      <c:pt idx="59">
                        <c:v>42004</c:v>
                      </c:pt>
                      <c:pt idx="60">
                        <c:v>42034</c:v>
                      </c:pt>
                      <c:pt idx="61">
                        <c:v>42062</c:v>
                      </c:pt>
                      <c:pt idx="62">
                        <c:v>42094</c:v>
                      </c:pt>
                      <c:pt idx="63">
                        <c:v>42124</c:v>
                      </c:pt>
                      <c:pt idx="64">
                        <c:v>42153</c:v>
                      </c:pt>
                      <c:pt idx="65">
                        <c:v>42185</c:v>
                      </c:pt>
                      <c:pt idx="66">
                        <c:v>42216</c:v>
                      </c:pt>
                      <c:pt idx="67">
                        <c:v>42247</c:v>
                      </c:pt>
                      <c:pt idx="68">
                        <c:v>42277</c:v>
                      </c:pt>
                      <c:pt idx="69">
                        <c:v>42307</c:v>
                      </c:pt>
                      <c:pt idx="70">
                        <c:v>42338</c:v>
                      </c:pt>
                      <c:pt idx="71">
                        <c:v>42369</c:v>
                      </c:pt>
                      <c:pt idx="72">
                        <c:v>42398</c:v>
                      </c:pt>
                      <c:pt idx="73">
                        <c:v>42429</c:v>
                      </c:pt>
                      <c:pt idx="74">
                        <c:v>42460</c:v>
                      </c:pt>
                      <c:pt idx="75">
                        <c:v>42489</c:v>
                      </c:pt>
                      <c:pt idx="76">
                        <c:v>42521</c:v>
                      </c:pt>
                      <c:pt idx="77">
                        <c:v>42551</c:v>
                      </c:pt>
                      <c:pt idx="78">
                        <c:v>42580</c:v>
                      </c:pt>
                      <c:pt idx="79">
                        <c:v>42613</c:v>
                      </c:pt>
                      <c:pt idx="80">
                        <c:v>42643</c:v>
                      </c:pt>
                      <c:pt idx="81">
                        <c:v>42674</c:v>
                      </c:pt>
                      <c:pt idx="82">
                        <c:v>42704</c:v>
                      </c:pt>
                      <c:pt idx="83">
                        <c:v>42734</c:v>
                      </c:pt>
                      <c:pt idx="84">
                        <c:v>42766</c:v>
                      </c:pt>
                      <c:pt idx="85">
                        <c:v>42794</c:v>
                      </c:pt>
                      <c:pt idx="86">
                        <c:v>42825</c:v>
                      </c:pt>
                      <c:pt idx="87">
                        <c:v>42853</c:v>
                      </c:pt>
                      <c:pt idx="88">
                        <c:v>42886</c:v>
                      </c:pt>
                      <c:pt idx="89">
                        <c:v>42916</c:v>
                      </c:pt>
                      <c:pt idx="90">
                        <c:v>42947</c:v>
                      </c:pt>
                      <c:pt idx="91">
                        <c:v>42978</c:v>
                      </c:pt>
                      <c:pt idx="92">
                        <c:v>43007</c:v>
                      </c:pt>
                      <c:pt idx="93">
                        <c:v>43039</c:v>
                      </c:pt>
                      <c:pt idx="94">
                        <c:v>43069</c:v>
                      </c:pt>
                      <c:pt idx="95">
                        <c:v>43098</c:v>
                      </c:pt>
                      <c:pt idx="96">
                        <c:v>43131</c:v>
                      </c:pt>
                      <c:pt idx="97">
                        <c:v>43159</c:v>
                      </c:pt>
                      <c:pt idx="98">
                        <c:v>43189</c:v>
                      </c:pt>
                      <c:pt idx="99">
                        <c:v>43220</c:v>
                      </c:pt>
                      <c:pt idx="100">
                        <c:v>43251</c:v>
                      </c:pt>
                      <c:pt idx="101">
                        <c:v>43280</c:v>
                      </c:pt>
                      <c:pt idx="102">
                        <c:v>43312</c:v>
                      </c:pt>
                      <c:pt idx="103">
                        <c:v>43343</c:v>
                      </c:pt>
                      <c:pt idx="104">
                        <c:v>43373</c:v>
                      </c:pt>
                      <c:pt idx="105">
                        <c:v>43403</c:v>
                      </c:pt>
                      <c:pt idx="106">
                        <c:v>43434</c:v>
                      </c:pt>
                      <c:pt idx="107">
                        <c:v>43465</c:v>
                      </c:pt>
                      <c:pt idx="108">
                        <c:v>43495</c:v>
                      </c:pt>
                      <c:pt idx="109">
                        <c:v>43523</c:v>
                      </c:pt>
                      <c:pt idx="110">
                        <c:v>43555</c:v>
                      </c:pt>
                      <c:pt idx="111">
                        <c:v>43585</c:v>
                      </c:pt>
                      <c:pt idx="112">
                        <c:v>43614</c:v>
                      </c:pt>
                      <c:pt idx="113">
                        <c:v>43646</c:v>
                      </c:pt>
                      <c:pt idx="114">
                        <c:v>43677</c:v>
                      </c:pt>
                      <c:pt idx="115">
                        <c:v>43708</c:v>
                      </c:pt>
                      <c:pt idx="116">
                        <c:v>43738</c:v>
                      </c:pt>
                      <c:pt idx="117">
                        <c:v>43768</c:v>
                      </c:pt>
                      <c:pt idx="118">
                        <c:v>43799</c:v>
                      </c:pt>
                      <c:pt idx="119">
                        <c:v>43830</c:v>
                      </c:pt>
                      <c:pt idx="120">
                        <c:v>43860</c:v>
                      </c:pt>
                      <c:pt idx="121">
                        <c:v>43888</c:v>
                      </c:pt>
                      <c:pt idx="122">
                        <c:v>43921</c:v>
                      </c:pt>
                      <c:pt idx="123">
                        <c:v>43951</c:v>
                      </c:pt>
                      <c:pt idx="124">
                        <c:v>43980</c:v>
                      </c:pt>
                      <c:pt idx="125">
                        <c:v>44012</c:v>
                      </c:pt>
                      <c:pt idx="126">
                        <c:v>44043</c:v>
                      </c:pt>
                      <c:pt idx="127">
                        <c:v>44074</c:v>
                      </c:pt>
                      <c:pt idx="128">
                        <c:v>44104</c:v>
                      </c:pt>
                      <c:pt idx="129">
                        <c:v>44134</c:v>
                      </c:pt>
                      <c:pt idx="130">
                        <c:v>44165</c:v>
                      </c:pt>
                      <c:pt idx="131">
                        <c:v>44196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7 + 8'!$K$19:$K$58</c15:sqref>
                        </c15:formulaRef>
                      </c:ext>
                    </c:extLst>
                    <c:numCache>
                      <c:formatCode>General</c:formatCode>
                      <c:ptCount val="4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FF8A-4241-8E24-4FC82878FF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7 + 8'!$L$18</c15:sqref>
                        </c15:formulaRef>
                      </c:ext>
                    </c:extLst>
                    <c:strCache>
                      <c:ptCount val="1"/>
                      <c:pt idx="0">
                        <c:v>prognosis 1:2017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7 + 8'!$I$19:$I$150</c15:sqref>
                        </c15:formulaRef>
                      </c:ext>
                    </c:extLst>
                    <c:numCache>
                      <c:formatCode>m/d/yyyy</c:formatCode>
                      <c:ptCount val="132"/>
                      <c:pt idx="0">
                        <c:v>40207</c:v>
                      </c:pt>
                      <c:pt idx="1">
                        <c:v>40235</c:v>
                      </c:pt>
                      <c:pt idx="2">
                        <c:v>40268</c:v>
                      </c:pt>
                      <c:pt idx="3">
                        <c:v>40298</c:v>
                      </c:pt>
                      <c:pt idx="4">
                        <c:v>40329</c:v>
                      </c:pt>
                      <c:pt idx="5">
                        <c:v>40359</c:v>
                      </c:pt>
                      <c:pt idx="6">
                        <c:v>40389</c:v>
                      </c:pt>
                      <c:pt idx="7">
                        <c:v>40421</c:v>
                      </c:pt>
                      <c:pt idx="8">
                        <c:v>40451</c:v>
                      </c:pt>
                      <c:pt idx="9">
                        <c:v>40480</c:v>
                      </c:pt>
                      <c:pt idx="10">
                        <c:v>40512</c:v>
                      </c:pt>
                      <c:pt idx="11">
                        <c:v>40543</c:v>
                      </c:pt>
                      <c:pt idx="12">
                        <c:v>40574</c:v>
                      </c:pt>
                      <c:pt idx="13">
                        <c:v>40602</c:v>
                      </c:pt>
                      <c:pt idx="14">
                        <c:v>40633</c:v>
                      </c:pt>
                      <c:pt idx="15">
                        <c:v>40662</c:v>
                      </c:pt>
                      <c:pt idx="16">
                        <c:v>40694</c:v>
                      </c:pt>
                      <c:pt idx="17">
                        <c:v>40724</c:v>
                      </c:pt>
                      <c:pt idx="18">
                        <c:v>40753</c:v>
                      </c:pt>
                      <c:pt idx="19">
                        <c:v>40786</c:v>
                      </c:pt>
                      <c:pt idx="20">
                        <c:v>40816</c:v>
                      </c:pt>
                      <c:pt idx="21">
                        <c:v>40847</c:v>
                      </c:pt>
                      <c:pt idx="22">
                        <c:v>40877</c:v>
                      </c:pt>
                      <c:pt idx="23">
                        <c:v>40907</c:v>
                      </c:pt>
                      <c:pt idx="24">
                        <c:v>40939</c:v>
                      </c:pt>
                      <c:pt idx="25">
                        <c:v>40968</c:v>
                      </c:pt>
                      <c:pt idx="26">
                        <c:v>40998</c:v>
                      </c:pt>
                      <c:pt idx="27">
                        <c:v>41029</c:v>
                      </c:pt>
                      <c:pt idx="28">
                        <c:v>41060</c:v>
                      </c:pt>
                      <c:pt idx="29">
                        <c:v>41089</c:v>
                      </c:pt>
                      <c:pt idx="30">
                        <c:v>41121</c:v>
                      </c:pt>
                      <c:pt idx="31">
                        <c:v>41152</c:v>
                      </c:pt>
                      <c:pt idx="32">
                        <c:v>41180</c:v>
                      </c:pt>
                      <c:pt idx="33">
                        <c:v>41213</c:v>
                      </c:pt>
                      <c:pt idx="34">
                        <c:v>41243</c:v>
                      </c:pt>
                      <c:pt idx="35">
                        <c:v>41274</c:v>
                      </c:pt>
                      <c:pt idx="36">
                        <c:v>41305</c:v>
                      </c:pt>
                      <c:pt idx="37">
                        <c:v>41333</c:v>
                      </c:pt>
                      <c:pt idx="38">
                        <c:v>41362</c:v>
                      </c:pt>
                      <c:pt idx="39">
                        <c:v>41394</c:v>
                      </c:pt>
                      <c:pt idx="40">
                        <c:v>41425</c:v>
                      </c:pt>
                      <c:pt idx="41">
                        <c:v>41453</c:v>
                      </c:pt>
                      <c:pt idx="42">
                        <c:v>41486</c:v>
                      </c:pt>
                      <c:pt idx="43">
                        <c:v>41516</c:v>
                      </c:pt>
                      <c:pt idx="44">
                        <c:v>41547</c:v>
                      </c:pt>
                      <c:pt idx="45">
                        <c:v>41578</c:v>
                      </c:pt>
                      <c:pt idx="46">
                        <c:v>41607</c:v>
                      </c:pt>
                      <c:pt idx="47">
                        <c:v>41639</c:v>
                      </c:pt>
                      <c:pt idx="48">
                        <c:v>41670</c:v>
                      </c:pt>
                      <c:pt idx="49">
                        <c:v>41698</c:v>
                      </c:pt>
                      <c:pt idx="50">
                        <c:v>41729</c:v>
                      </c:pt>
                      <c:pt idx="51">
                        <c:v>41759</c:v>
                      </c:pt>
                      <c:pt idx="52">
                        <c:v>41789</c:v>
                      </c:pt>
                      <c:pt idx="53">
                        <c:v>41820</c:v>
                      </c:pt>
                      <c:pt idx="54">
                        <c:v>41851</c:v>
                      </c:pt>
                      <c:pt idx="55">
                        <c:v>41880</c:v>
                      </c:pt>
                      <c:pt idx="56">
                        <c:v>41912</c:v>
                      </c:pt>
                      <c:pt idx="57">
                        <c:v>41943</c:v>
                      </c:pt>
                      <c:pt idx="58">
                        <c:v>41971</c:v>
                      </c:pt>
                      <c:pt idx="59">
                        <c:v>42004</c:v>
                      </c:pt>
                      <c:pt idx="60">
                        <c:v>42034</c:v>
                      </c:pt>
                      <c:pt idx="61">
                        <c:v>42062</c:v>
                      </c:pt>
                      <c:pt idx="62">
                        <c:v>42094</c:v>
                      </c:pt>
                      <c:pt idx="63">
                        <c:v>42124</c:v>
                      </c:pt>
                      <c:pt idx="64">
                        <c:v>42153</c:v>
                      </c:pt>
                      <c:pt idx="65">
                        <c:v>42185</c:v>
                      </c:pt>
                      <c:pt idx="66">
                        <c:v>42216</c:v>
                      </c:pt>
                      <c:pt idx="67">
                        <c:v>42247</c:v>
                      </c:pt>
                      <c:pt idx="68">
                        <c:v>42277</c:v>
                      </c:pt>
                      <c:pt idx="69">
                        <c:v>42307</c:v>
                      </c:pt>
                      <c:pt idx="70">
                        <c:v>42338</c:v>
                      </c:pt>
                      <c:pt idx="71">
                        <c:v>42369</c:v>
                      </c:pt>
                      <c:pt idx="72">
                        <c:v>42398</c:v>
                      </c:pt>
                      <c:pt idx="73">
                        <c:v>42429</c:v>
                      </c:pt>
                      <c:pt idx="74">
                        <c:v>42460</c:v>
                      </c:pt>
                      <c:pt idx="75">
                        <c:v>42489</c:v>
                      </c:pt>
                      <c:pt idx="76">
                        <c:v>42521</c:v>
                      </c:pt>
                      <c:pt idx="77">
                        <c:v>42551</c:v>
                      </c:pt>
                      <c:pt idx="78">
                        <c:v>42580</c:v>
                      </c:pt>
                      <c:pt idx="79">
                        <c:v>42613</c:v>
                      </c:pt>
                      <c:pt idx="80">
                        <c:v>42643</c:v>
                      </c:pt>
                      <c:pt idx="81">
                        <c:v>42674</c:v>
                      </c:pt>
                      <c:pt idx="82">
                        <c:v>42704</c:v>
                      </c:pt>
                      <c:pt idx="83">
                        <c:v>42734</c:v>
                      </c:pt>
                      <c:pt idx="84">
                        <c:v>42766</c:v>
                      </c:pt>
                      <c:pt idx="85">
                        <c:v>42794</c:v>
                      </c:pt>
                      <c:pt idx="86">
                        <c:v>42825</c:v>
                      </c:pt>
                      <c:pt idx="87">
                        <c:v>42853</c:v>
                      </c:pt>
                      <c:pt idx="88">
                        <c:v>42886</c:v>
                      </c:pt>
                      <c:pt idx="89">
                        <c:v>42916</c:v>
                      </c:pt>
                      <c:pt idx="90">
                        <c:v>42947</c:v>
                      </c:pt>
                      <c:pt idx="91">
                        <c:v>42978</c:v>
                      </c:pt>
                      <c:pt idx="92">
                        <c:v>43007</c:v>
                      </c:pt>
                      <c:pt idx="93">
                        <c:v>43039</c:v>
                      </c:pt>
                      <c:pt idx="94">
                        <c:v>43069</c:v>
                      </c:pt>
                      <c:pt idx="95">
                        <c:v>43098</c:v>
                      </c:pt>
                      <c:pt idx="96">
                        <c:v>43131</c:v>
                      </c:pt>
                      <c:pt idx="97">
                        <c:v>43159</c:v>
                      </c:pt>
                      <c:pt idx="98">
                        <c:v>43189</c:v>
                      </c:pt>
                      <c:pt idx="99">
                        <c:v>43220</c:v>
                      </c:pt>
                      <c:pt idx="100">
                        <c:v>43251</c:v>
                      </c:pt>
                      <c:pt idx="101">
                        <c:v>43280</c:v>
                      </c:pt>
                      <c:pt idx="102">
                        <c:v>43312</c:v>
                      </c:pt>
                      <c:pt idx="103">
                        <c:v>43343</c:v>
                      </c:pt>
                      <c:pt idx="104">
                        <c:v>43373</c:v>
                      </c:pt>
                      <c:pt idx="105">
                        <c:v>43403</c:v>
                      </c:pt>
                      <c:pt idx="106">
                        <c:v>43434</c:v>
                      </c:pt>
                      <c:pt idx="107">
                        <c:v>43465</c:v>
                      </c:pt>
                      <c:pt idx="108">
                        <c:v>43495</c:v>
                      </c:pt>
                      <c:pt idx="109">
                        <c:v>43523</c:v>
                      </c:pt>
                      <c:pt idx="110">
                        <c:v>43555</c:v>
                      </c:pt>
                      <c:pt idx="111">
                        <c:v>43585</c:v>
                      </c:pt>
                      <c:pt idx="112">
                        <c:v>43614</c:v>
                      </c:pt>
                      <c:pt idx="113">
                        <c:v>43646</c:v>
                      </c:pt>
                      <c:pt idx="114">
                        <c:v>43677</c:v>
                      </c:pt>
                      <c:pt idx="115">
                        <c:v>43708</c:v>
                      </c:pt>
                      <c:pt idx="116">
                        <c:v>43738</c:v>
                      </c:pt>
                      <c:pt idx="117">
                        <c:v>43768</c:v>
                      </c:pt>
                      <c:pt idx="118">
                        <c:v>43799</c:v>
                      </c:pt>
                      <c:pt idx="119">
                        <c:v>43830</c:v>
                      </c:pt>
                      <c:pt idx="120">
                        <c:v>43860</c:v>
                      </c:pt>
                      <c:pt idx="121">
                        <c:v>43888</c:v>
                      </c:pt>
                      <c:pt idx="122">
                        <c:v>43921</c:v>
                      </c:pt>
                      <c:pt idx="123">
                        <c:v>43951</c:v>
                      </c:pt>
                      <c:pt idx="124">
                        <c:v>43980</c:v>
                      </c:pt>
                      <c:pt idx="125">
                        <c:v>44012</c:v>
                      </c:pt>
                      <c:pt idx="126">
                        <c:v>44043</c:v>
                      </c:pt>
                      <c:pt idx="127">
                        <c:v>44074</c:v>
                      </c:pt>
                      <c:pt idx="128">
                        <c:v>44104</c:v>
                      </c:pt>
                      <c:pt idx="129">
                        <c:v>44134</c:v>
                      </c:pt>
                      <c:pt idx="130">
                        <c:v>44165</c:v>
                      </c:pt>
                      <c:pt idx="131">
                        <c:v>44196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7 + 8'!$L$19:$L$58</c15:sqref>
                        </c15:formulaRef>
                      </c:ext>
                    </c:extLst>
                    <c:numCache>
                      <c:formatCode>General</c:formatCode>
                      <c:ptCount val="4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FF8A-4241-8E24-4FC82878FF28}"/>
                  </c:ext>
                </c:extLst>
              </c15:ser>
            </c15:filteredLineSeries>
          </c:ext>
        </c:extLst>
      </c:lineChart>
      <c:dateAx>
        <c:axId val="914931312"/>
        <c:scaling>
          <c:orientation val="minMax"/>
          <c:max val="44195"/>
          <c:min val="41640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4931704"/>
        <c:crosses val="autoZero"/>
        <c:auto val="1"/>
        <c:lblOffset val="100"/>
        <c:baseTimeUnit val="days"/>
        <c:majorUnit val="1"/>
        <c:majorTimeUnit val="years"/>
        <c:minorUnit val="1"/>
        <c:minorTimeUnit val="months"/>
      </c:dateAx>
      <c:valAx>
        <c:axId val="914931704"/>
        <c:scaling>
          <c:orientation val="minMax"/>
          <c:max val="12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493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6262393384101"/>
          <c:y val="0.13006579715510633"/>
          <c:w val="0.31066775332919011"/>
          <c:h val="0.3062065908428113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'Box 2_ Graf 9_ Tabuľka 1'!$L$10</c:f>
              <c:strCache>
                <c:ptCount val="1"/>
                <c:pt idx="0">
                  <c:v>metodika EK s prognózou MF</c:v>
                </c:pt>
              </c:strCache>
            </c:strRef>
          </c:tx>
          <c:marker>
            <c:symbol val="none"/>
          </c:marker>
          <c:cat>
            <c:numRef>
              <c:f>'Box 2_ Graf 9_ Tabuľka 1'!$N$7:$AH$7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'Box 2_ Graf 9_ Tabuľka 1'!$N$10:$AH$10</c:f>
              <c:numCache>
                <c:formatCode>0.0</c:formatCode>
                <c:ptCount val="21"/>
                <c:pt idx="0">
                  <c:v>-3.6</c:v>
                </c:pt>
                <c:pt idx="1">
                  <c:v>-3.19</c:v>
                </c:pt>
                <c:pt idx="2">
                  <c:v>-1.99</c:v>
                </c:pt>
                <c:pt idx="3">
                  <c:v>-1.23</c:v>
                </c:pt>
                <c:pt idx="4">
                  <c:v>0.02</c:v>
                </c:pt>
                <c:pt idx="5">
                  <c:v>2.46</c:v>
                </c:pt>
                <c:pt idx="6">
                  <c:v>7</c:v>
                </c:pt>
                <c:pt idx="7">
                  <c:v>7.15</c:v>
                </c:pt>
                <c:pt idx="8">
                  <c:v>-2.06</c:v>
                </c:pt>
                <c:pt idx="9">
                  <c:v>-0.52</c:v>
                </c:pt>
                <c:pt idx="10">
                  <c:v>-1.1599999999999999</c:v>
                </c:pt>
                <c:pt idx="11">
                  <c:v>-2.04</c:v>
                </c:pt>
                <c:pt idx="12">
                  <c:v>-2.68</c:v>
                </c:pt>
                <c:pt idx="13">
                  <c:v>-2.0699999999999998</c:v>
                </c:pt>
                <c:pt idx="14">
                  <c:v>-1.24</c:v>
                </c:pt>
                <c:pt idx="15">
                  <c:v>-0.56000000000000005</c:v>
                </c:pt>
                <c:pt idx="16">
                  <c:v>-0.28000000000000003</c:v>
                </c:pt>
                <c:pt idx="17">
                  <c:v>0.14000000000000001</c:v>
                </c:pt>
                <c:pt idx="18">
                  <c:v>0.63</c:v>
                </c:pt>
                <c:pt idx="19">
                  <c:v>0.76</c:v>
                </c:pt>
                <c:pt idx="20">
                  <c:v>0.63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E7-42E1-BC71-62D75A79F03E}"/>
            </c:ext>
          </c:extLst>
        </c:ser>
        <c:ser>
          <c:idx val="1"/>
          <c:order val="1"/>
          <c:tx>
            <c:strRef>
              <c:f>'Box 2_ Graf 9_ Tabuľka 1'!$L$9</c:f>
              <c:strCache>
                <c:ptCount val="1"/>
                <c:pt idx="0">
                  <c:v>národna metodika MF 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'Box 2_ Graf 9_ Tabuľka 1'!$N$7:$AH$7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'Box 2_ Graf 9_ Tabuľka 1'!$N$9:$AH$9</c:f>
              <c:numCache>
                <c:formatCode>0.0</c:formatCode>
                <c:ptCount val="21"/>
                <c:pt idx="0">
                  <c:v>-1.0791494151434897</c:v>
                </c:pt>
                <c:pt idx="1">
                  <c:v>-1.013001798792446</c:v>
                </c:pt>
                <c:pt idx="2">
                  <c:v>-0.83664790730202876</c:v>
                </c:pt>
                <c:pt idx="3">
                  <c:v>-1.2939489698222335</c:v>
                </c:pt>
                <c:pt idx="4">
                  <c:v>-1.7302960109505237</c:v>
                </c:pt>
                <c:pt idx="5">
                  <c:v>-1.1361323802830292</c:v>
                </c:pt>
                <c:pt idx="6">
                  <c:v>2.0150011059226913</c:v>
                </c:pt>
                <c:pt idx="7">
                  <c:v>2.1114919845562614</c:v>
                </c:pt>
                <c:pt idx="8">
                  <c:v>-4.5094251453294936</c:v>
                </c:pt>
                <c:pt idx="9">
                  <c:v>-0.8760480498927381</c:v>
                </c:pt>
                <c:pt idx="10">
                  <c:v>-0.77585399429241664</c:v>
                </c:pt>
                <c:pt idx="11">
                  <c:v>-1.1158438001645326</c:v>
                </c:pt>
                <c:pt idx="12">
                  <c:v>-1.8812097992715326</c:v>
                </c:pt>
                <c:pt idx="13">
                  <c:v>-1.4198886200940108</c:v>
                </c:pt>
                <c:pt idx="14">
                  <c:v>-0.57442112011097579</c:v>
                </c:pt>
                <c:pt idx="15">
                  <c:v>-0.11443656117859048</c:v>
                </c:pt>
                <c:pt idx="16">
                  <c:v>0.13851173470652545</c:v>
                </c:pt>
                <c:pt idx="17">
                  <c:v>0.55284119144566346</c:v>
                </c:pt>
                <c:pt idx="18">
                  <c:v>1.2066913895963918</c:v>
                </c:pt>
                <c:pt idx="19">
                  <c:v>1.2809644075061895</c:v>
                </c:pt>
                <c:pt idx="20">
                  <c:v>1.2345563159508914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E7-42E1-BC71-62D75A79F03E}"/>
            </c:ext>
          </c:extLst>
        </c:ser>
        <c:ser>
          <c:idx val="0"/>
          <c:order val="2"/>
          <c:tx>
            <c:strRef>
              <c:f>'Box 2_ Graf 9_ Tabuľka 1'!$L$8</c:f>
              <c:strCache>
                <c:ptCount val="1"/>
                <c:pt idx="0">
                  <c:v>odhad EK jarná prognóza 2018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'Box 2_ Graf 9_ Tabuľka 1'!$N$7:$AH$7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'Box 2_ Graf 9_ Tabuľka 1'!$N$8:$AG$8</c:f>
              <c:numCache>
                <c:formatCode>0.0</c:formatCode>
                <c:ptCount val="20"/>
                <c:pt idx="0">
                  <c:v>-3.597928</c:v>
                </c:pt>
                <c:pt idx="1">
                  <c:v>-3.1934819999999999</c:v>
                </c:pt>
                <c:pt idx="2">
                  <c:v>-1.9854240000000001</c:v>
                </c:pt>
                <c:pt idx="3">
                  <c:v>-1.2281329999999999</c:v>
                </c:pt>
                <c:pt idx="4">
                  <c:v>2.7130999999999999E-2</c:v>
                </c:pt>
                <c:pt idx="5">
                  <c:v>2.46516</c:v>
                </c:pt>
                <c:pt idx="6">
                  <c:v>7.0066660000000001</c:v>
                </c:pt>
                <c:pt idx="7">
                  <c:v>7.1516679999999999</c:v>
                </c:pt>
                <c:pt idx="8">
                  <c:v>-2.0658530000000002</c:v>
                </c:pt>
                <c:pt idx="9">
                  <c:v>-0.53888400000000003</c:v>
                </c:pt>
                <c:pt idx="10">
                  <c:v>-1.1888799999999999</c:v>
                </c:pt>
                <c:pt idx="11">
                  <c:v>-2.0904219999999998</c:v>
                </c:pt>
                <c:pt idx="12">
                  <c:v>-2.7469009999999998</c:v>
                </c:pt>
                <c:pt idx="13">
                  <c:v>-2.1404619999999999</c:v>
                </c:pt>
                <c:pt idx="14">
                  <c:v>-1.294022</c:v>
                </c:pt>
                <c:pt idx="15">
                  <c:v>-0.52918900000000002</c:v>
                </c:pt>
                <c:pt idx="16">
                  <c:v>-8.9820000000000004E-3</c:v>
                </c:pt>
                <c:pt idx="17">
                  <c:v>0.64208399999999999</c:v>
                </c:pt>
                <c:pt idx="18">
                  <c:v>1.1803980000000001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E7-42E1-BC71-62D75A79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932488"/>
        <c:axId val="914932880"/>
      </c:lineChart>
      <c:catAx>
        <c:axId val="914932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914932880"/>
        <c:crosses val="autoZero"/>
        <c:auto val="1"/>
        <c:lblAlgn val="ctr"/>
        <c:lblOffset val="100"/>
        <c:noMultiLvlLbl val="0"/>
      </c:catAx>
      <c:valAx>
        <c:axId val="9149328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149324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0946059278822042"/>
          <c:y val="8.1089077822327396E-2"/>
          <c:w val="0.32732988903659299"/>
          <c:h val="0.3182518190805450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343140710177734E-2"/>
          <c:y val="5.5345890022922783E-2"/>
          <c:w val="0.8799838970523266"/>
          <c:h val="0.8015091164228727"/>
        </c:manualLayout>
      </c:layout>
      <c:lineChart>
        <c:grouping val="standard"/>
        <c:varyColors val="0"/>
        <c:ser>
          <c:idx val="2"/>
          <c:order val="0"/>
          <c:tx>
            <c:strRef>
              <c:f>'Box 2_ Graf 9_ Tabuľka 1'!$M$10</c:f>
              <c:strCache>
                <c:ptCount val="1"/>
                <c:pt idx="0">
                  <c:v>EC methodology with MoF forecast</c:v>
                </c:pt>
              </c:strCache>
            </c:strRef>
          </c:tx>
          <c:marker>
            <c:symbol val="none"/>
          </c:marker>
          <c:cat>
            <c:numRef>
              <c:f>'Box 2_ Graf 9_ Tabuľka 1'!$N$7:$AH$7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'Box 2_ Graf 9_ Tabuľka 1'!$N$10:$AH$10</c:f>
              <c:numCache>
                <c:formatCode>0.0</c:formatCode>
                <c:ptCount val="21"/>
                <c:pt idx="0">
                  <c:v>-3.6</c:v>
                </c:pt>
                <c:pt idx="1">
                  <c:v>-3.19</c:v>
                </c:pt>
                <c:pt idx="2">
                  <c:v>-1.99</c:v>
                </c:pt>
                <c:pt idx="3">
                  <c:v>-1.23</c:v>
                </c:pt>
                <c:pt idx="4">
                  <c:v>0.02</c:v>
                </c:pt>
                <c:pt idx="5">
                  <c:v>2.46</c:v>
                </c:pt>
                <c:pt idx="6">
                  <c:v>7</c:v>
                </c:pt>
                <c:pt idx="7">
                  <c:v>7.15</c:v>
                </c:pt>
                <c:pt idx="8">
                  <c:v>-2.06</c:v>
                </c:pt>
                <c:pt idx="9">
                  <c:v>-0.52</c:v>
                </c:pt>
                <c:pt idx="10">
                  <c:v>-1.1599999999999999</c:v>
                </c:pt>
                <c:pt idx="11">
                  <c:v>-2.04</c:v>
                </c:pt>
                <c:pt idx="12">
                  <c:v>-2.68</c:v>
                </c:pt>
                <c:pt idx="13">
                  <c:v>-2.0699999999999998</c:v>
                </c:pt>
                <c:pt idx="14">
                  <c:v>-1.24</c:v>
                </c:pt>
                <c:pt idx="15">
                  <c:v>-0.56000000000000005</c:v>
                </c:pt>
                <c:pt idx="16">
                  <c:v>-0.28000000000000003</c:v>
                </c:pt>
                <c:pt idx="17">
                  <c:v>0.14000000000000001</c:v>
                </c:pt>
                <c:pt idx="18">
                  <c:v>0.63</c:v>
                </c:pt>
                <c:pt idx="19">
                  <c:v>0.76</c:v>
                </c:pt>
                <c:pt idx="20">
                  <c:v>0.63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E7-42E1-BC71-62D75A79F03E}"/>
            </c:ext>
          </c:extLst>
        </c:ser>
        <c:ser>
          <c:idx val="1"/>
          <c:order val="1"/>
          <c:tx>
            <c:strRef>
              <c:f>'Box 2_ Graf 9_ Tabuľka 1'!$M$9</c:f>
              <c:strCache>
                <c:ptCount val="1"/>
                <c:pt idx="0">
                  <c:v>MoF national methodology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'Box 2_ Graf 9_ Tabuľka 1'!$N$7:$AH$7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'Box 2_ Graf 9_ Tabuľka 1'!$N$9:$AH$9</c:f>
              <c:numCache>
                <c:formatCode>0.0</c:formatCode>
                <c:ptCount val="21"/>
                <c:pt idx="0">
                  <c:v>-1.0791494151434897</c:v>
                </c:pt>
                <c:pt idx="1">
                  <c:v>-1.013001798792446</c:v>
                </c:pt>
                <c:pt idx="2">
                  <c:v>-0.83664790730202876</c:v>
                </c:pt>
                <c:pt idx="3">
                  <c:v>-1.2939489698222335</c:v>
                </c:pt>
                <c:pt idx="4">
                  <c:v>-1.7302960109505237</c:v>
                </c:pt>
                <c:pt idx="5">
                  <c:v>-1.1361323802830292</c:v>
                </c:pt>
                <c:pt idx="6">
                  <c:v>2.0150011059226913</c:v>
                </c:pt>
                <c:pt idx="7">
                  <c:v>2.1114919845562614</c:v>
                </c:pt>
                <c:pt idx="8">
                  <c:v>-4.5094251453294936</c:v>
                </c:pt>
                <c:pt idx="9">
                  <c:v>-0.8760480498927381</c:v>
                </c:pt>
                <c:pt idx="10">
                  <c:v>-0.77585399429241664</c:v>
                </c:pt>
                <c:pt idx="11">
                  <c:v>-1.1158438001645326</c:v>
                </c:pt>
                <c:pt idx="12">
                  <c:v>-1.8812097992715326</c:v>
                </c:pt>
                <c:pt idx="13">
                  <c:v>-1.4198886200940108</c:v>
                </c:pt>
                <c:pt idx="14">
                  <c:v>-0.57442112011097579</c:v>
                </c:pt>
                <c:pt idx="15">
                  <c:v>-0.11443656117859048</c:v>
                </c:pt>
                <c:pt idx="16">
                  <c:v>0.13851173470652545</c:v>
                </c:pt>
                <c:pt idx="17">
                  <c:v>0.55284119144566346</c:v>
                </c:pt>
                <c:pt idx="18">
                  <c:v>1.2066913895963918</c:v>
                </c:pt>
                <c:pt idx="19">
                  <c:v>1.2809644075061895</c:v>
                </c:pt>
                <c:pt idx="20">
                  <c:v>1.2345563159508914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E7-42E1-BC71-62D75A79F03E}"/>
            </c:ext>
          </c:extLst>
        </c:ser>
        <c:ser>
          <c:idx val="0"/>
          <c:order val="2"/>
          <c:tx>
            <c:strRef>
              <c:f>'Box 2_ Graf 9_ Tabuľka 1'!$M$8</c:f>
              <c:strCache>
                <c:ptCount val="1"/>
                <c:pt idx="0">
                  <c:v>EC estimate - Spring 2018 forecast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'Box 2_ Graf 9_ Tabuľka 1'!$N$7:$AH$7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'Box 2_ Graf 9_ Tabuľka 1'!$N$8:$AG$8</c:f>
              <c:numCache>
                <c:formatCode>0.0</c:formatCode>
                <c:ptCount val="20"/>
                <c:pt idx="0">
                  <c:v>-3.597928</c:v>
                </c:pt>
                <c:pt idx="1">
                  <c:v>-3.1934819999999999</c:v>
                </c:pt>
                <c:pt idx="2">
                  <c:v>-1.9854240000000001</c:v>
                </c:pt>
                <c:pt idx="3">
                  <c:v>-1.2281329999999999</c:v>
                </c:pt>
                <c:pt idx="4">
                  <c:v>2.7130999999999999E-2</c:v>
                </c:pt>
                <c:pt idx="5">
                  <c:v>2.46516</c:v>
                </c:pt>
                <c:pt idx="6">
                  <c:v>7.0066660000000001</c:v>
                </c:pt>
                <c:pt idx="7">
                  <c:v>7.1516679999999999</c:v>
                </c:pt>
                <c:pt idx="8">
                  <c:v>-2.0658530000000002</c:v>
                </c:pt>
                <c:pt idx="9">
                  <c:v>-0.53888400000000003</c:v>
                </c:pt>
                <c:pt idx="10">
                  <c:v>-1.1888799999999999</c:v>
                </c:pt>
                <c:pt idx="11">
                  <c:v>-2.0904219999999998</c:v>
                </c:pt>
                <c:pt idx="12">
                  <c:v>-2.7469009999999998</c:v>
                </c:pt>
                <c:pt idx="13">
                  <c:v>-2.1404619999999999</c:v>
                </c:pt>
                <c:pt idx="14">
                  <c:v>-1.294022</c:v>
                </c:pt>
                <c:pt idx="15">
                  <c:v>-0.52918900000000002</c:v>
                </c:pt>
                <c:pt idx="16">
                  <c:v>-8.9820000000000004E-3</c:v>
                </c:pt>
                <c:pt idx="17">
                  <c:v>0.64208399999999999</c:v>
                </c:pt>
                <c:pt idx="18">
                  <c:v>1.1803980000000001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E7-42E1-BC71-62D75A79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473992"/>
        <c:axId val="920474384"/>
      </c:lineChart>
      <c:catAx>
        <c:axId val="92047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920474384"/>
        <c:crosses val="autoZero"/>
        <c:auto val="1"/>
        <c:lblAlgn val="ctr"/>
        <c:lblOffset val="100"/>
        <c:noMultiLvlLbl val="0"/>
      </c:catAx>
      <c:valAx>
        <c:axId val="92047438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204739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0946059278822042"/>
          <c:y val="8.1089077822327396E-2"/>
          <c:w val="0.43765295070135185"/>
          <c:h val="0.3182518190805450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06E-2"/>
          <c:y val="8.4437714516454598E-2"/>
          <c:w val="0.91819511922711805"/>
          <c:h val="0.79938104898816931"/>
        </c:manualLayout>
      </c:layout>
      <c:areaChart>
        <c:grouping val="stacked"/>
        <c:varyColors val="0"/>
        <c:ser>
          <c:idx val="3"/>
          <c:order val="0"/>
          <c:tx>
            <c:strRef>
              <c:f>'Graf 10'!$M$8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10'!$O$8:$T$8</c:f>
              <c:numCache>
                <c:formatCode>0.0</c:formatCode>
                <c:ptCount val="6"/>
                <c:pt idx="0">
                  <c:v>4.2</c:v>
                </c:pt>
                <c:pt idx="1">
                  <c:v>5.5314930794494526</c:v>
                </c:pt>
                <c:pt idx="2">
                  <c:v>6.4359699260711452</c:v>
                </c:pt>
                <c:pt idx="3">
                  <c:v>5.200009868175071</c:v>
                </c:pt>
                <c:pt idx="4">
                  <c:v>4.5567639693027697</c:v>
                </c:pt>
                <c:pt idx="5">
                  <c:v>2.6312798892773821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C7-4DD8-BC81-E941791783BB}"/>
            </c:ext>
          </c:extLst>
        </c:ser>
        <c:ser>
          <c:idx val="5"/>
          <c:order val="1"/>
          <c:tx>
            <c:strRef>
              <c:f>'Graf 10'!$M$9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rgbClr val="2C9ADC"/>
            </a:solidFill>
            <a:ln w="28575">
              <a:noFill/>
            </a:ln>
          </c:spP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10'!$O$9:$T$9</c:f>
              <c:numCache>
                <c:formatCode>0.0</c:formatCode>
                <c:ptCount val="6"/>
                <c:pt idx="0">
                  <c:v>6.3041484339949605E-3</c:v>
                </c:pt>
                <c:pt idx="1">
                  <c:v>1.7733578263882777E-2</c:v>
                </c:pt>
                <c:pt idx="2">
                  <c:v>0.50041341330267564</c:v>
                </c:pt>
                <c:pt idx="3">
                  <c:v>1.7770087888030845</c:v>
                </c:pt>
                <c:pt idx="4">
                  <c:v>1.9939556350942791</c:v>
                </c:pt>
                <c:pt idx="5">
                  <c:v>3.6009298514962089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C7-4DD8-BC81-E94179178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475168"/>
        <c:axId val="916682784"/>
      </c:areaChart>
      <c:lineChart>
        <c:grouping val="standard"/>
        <c:varyColors val="0"/>
        <c:ser>
          <c:idx val="1"/>
          <c:order val="2"/>
          <c:tx>
            <c:strRef>
              <c:f>'Graf 10'!$M$10</c:f>
              <c:strCache>
                <c:ptCount val="1"/>
                <c:pt idx="0">
                  <c:v>prognóza MF SR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10'!$O$10:$T$10</c:f>
              <c:numCache>
                <c:formatCode>0.0</c:formatCode>
                <c:ptCount val="6"/>
                <c:pt idx="0">
                  <c:v>4.2063041484339951</c:v>
                </c:pt>
                <c:pt idx="1">
                  <c:v>5.5314930794494526</c:v>
                </c:pt>
                <c:pt idx="2">
                  <c:v>6.7104046080914319</c:v>
                </c:pt>
                <c:pt idx="3">
                  <c:v>6.5285662397688569</c:v>
                </c:pt>
                <c:pt idx="4">
                  <c:v>6.1100924011372069</c:v>
                </c:pt>
                <c:pt idx="5">
                  <c:v>5.3586842252936213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C7-4DD8-BC81-E941791783BB}"/>
            </c:ext>
          </c:extLst>
        </c:ser>
        <c:ser>
          <c:idx val="0"/>
          <c:order val="3"/>
          <c:tx>
            <c:strRef>
              <c:f>'Graf 10'!$M$11</c:f>
              <c:strCache>
                <c:ptCount val="1"/>
                <c:pt idx="0">
                  <c:v>medián Výboru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10'!$O$11:$T$11</c:f>
              <c:numCache>
                <c:formatCode>0.0</c:formatCode>
                <c:ptCount val="6"/>
                <c:pt idx="0">
                  <c:v>4.2063041484339951</c:v>
                </c:pt>
                <c:pt idx="1">
                  <c:v>5.5314930794494526</c:v>
                </c:pt>
                <c:pt idx="2">
                  <c:v>6.6994242029860605</c:v>
                </c:pt>
                <c:pt idx="3">
                  <c:v>6.223309830149125</c:v>
                </c:pt>
                <c:pt idx="4">
                  <c:v>5.7804134408923726</c:v>
                </c:pt>
                <c:pt idx="5">
                  <c:v>5.2864148133345656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C7-4DD8-BC81-E94179178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75168"/>
        <c:axId val="916682784"/>
      </c:lineChart>
      <c:catAx>
        <c:axId val="92047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16682784"/>
        <c:crosses val="autoZero"/>
        <c:auto val="1"/>
        <c:lblAlgn val="ctr"/>
        <c:lblOffset val="100"/>
        <c:noMultiLvlLbl val="0"/>
      </c:catAx>
      <c:valAx>
        <c:axId val="91668278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20475168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7077260796945805E-2"/>
          <c:y val="9.2143117526975696E-2"/>
          <c:w val="0.33757112477728601"/>
          <c:h val="0.1114610673665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06E-2"/>
          <c:y val="8.4437714516454598E-2"/>
          <c:w val="0.91819511922711805"/>
          <c:h val="0.79938104898816931"/>
        </c:manualLayout>
      </c:layout>
      <c:areaChart>
        <c:grouping val="stacked"/>
        <c:varyColors val="0"/>
        <c:ser>
          <c:idx val="3"/>
          <c:order val="0"/>
          <c:tx>
            <c:strRef>
              <c:f>'Graf 10'!$N$8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10'!$O$8:$T$8</c:f>
              <c:numCache>
                <c:formatCode>0.0</c:formatCode>
                <c:ptCount val="6"/>
                <c:pt idx="0">
                  <c:v>4.2</c:v>
                </c:pt>
                <c:pt idx="1">
                  <c:v>5.5314930794494526</c:v>
                </c:pt>
                <c:pt idx="2">
                  <c:v>6.4359699260711452</c:v>
                </c:pt>
                <c:pt idx="3">
                  <c:v>5.200009868175071</c:v>
                </c:pt>
                <c:pt idx="4">
                  <c:v>4.5567639693027697</c:v>
                </c:pt>
                <c:pt idx="5">
                  <c:v>2.6312798892773821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C7-4DD8-BC81-E941791783BB}"/>
            </c:ext>
          </c:extLst>
        </c:ser>
        <c:ser>
          <c:idx val="5"/>
          <c:order val="1"/>
          <c:tx>
            <c:strRef>
              <c:f>'Graf 10'!$N$9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rgbClr val="2C9ADC"/>
            </a:solidFill>
            <a:ln w="28575">
              <a:noFill/>
            </a:ln>
          </c:spP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10'!$O$9:$T$9</c:f>
              <c:numCache>
                <c:formatCode>0.0</c:formatCode>
                <c:ptCount val="6"/>
                <c:pt idx="0">
                  <c:v>6.3041484339949605E-3</c:v>
                </c:pt>
                <c:pt idx="1">
                  <c:v>1.7733578263882777E-2</c:v>
                </c:pt>
                <c:pt idx="2">
                  <c:v>0.50041341330267564</c:v>
                </c:pt>
                <c:pt idx="3">
                  <c:v>1.7770087888030845</c:v>
                </c:pt>
                <c:pt idx="4">
                  <c:v>1.9939556350942791</c:v>
                </c:pt>
                <c:pt idx="5">
                  <c:v>3.6009298514962089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C7-4DD8-BC81-E94179178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683568"/>
        <c:axId val="916683960"/>
      </c:areaChart>
      <c:lineChart>
        <c:grouping val="standard"/>
        <c:varyColors val="0"/>
        <c:ser>
          <c:idx val="1"/>
          <c:order val="2"/>
          <c:tx>
            <c:strRef>
              <c:f>'Graf 10'!$N$10</c:f>
              <c:strCache>
                <c:ptCount val="1"/>
                <c:pt idx="0">
                  <c:v>MoF forecast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10'!$O$10:$T$10</c:f>
              <c:numCache>
                <c:formatCode>0.0</c:formatCode>
                <c:ptCount val="6"/>
                <c:pt idx="0">
                  <c:v>4.2063041484339951</c:v>
                </c:pt>
                <c:pt idx="1">
                  <c:v>5.5314930794494526</c:v>
                </c:pt>
                <c:pt idx="2">
                  <c:v>6.7104046080914319</c:v>
                </c:pt>
                <c:pt idx="3">
                  <c:v>6.5285662397688569</c:v>
                </c:pt>
                <c:pt idx="4">
                  <c:v>6.1100924011372069</c:v>
                </c:pt>
                <c:pt idx="5">
                  <c:v>5.3586842252936213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C7-4DD8-BC81-E941791783BB}"/>
            </c:ext>
          </c:extLst>
        </c:ser>
        <c:ser>
          <c:idx val="0"/>
          <c:order val="3"/>
          <c:tx>
            <c:strRef>
              <c:f>'Graf 10'!$N$11</c:f>
              <c:strCache>
                <c:ptCount val="1"/>
                <c:pt idx="0">
                  <c:v>MFC median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10'!$O$7:$T$7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10'!$O$11:$T$11</c:f>
              <c:numCache>
                <c:formatCode>0.0</c:formatCode>
                <c:ptCount val="6"/>
                <c:pt idx="0">
                  <c:v>4.2063041484339951</c:v>
                </c:pt>
                <c:pt idx="1">
                  <c:v>5.5314930794494526</c:v>
                </c:pt>
                <c:pt idx="2">
                  <c:v>6.6994242029860605</c:v>
                </c:pt>
                <c:pt idx="3">
                  <c:v>6.223309830149125</c:v>
                </c:pt>
                <c:pt idx="4">
                  <c:v>5.7804134408923726</c:v>
                </c:pt>
                <c:pt idx="5">
                  <c:v>5.2864148133345656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C7-4DD8-BC81-E94179178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83568"/>
        <c:axId val="916683960"/>
      </c:lineChart>
      <c:catAx>
        <c:axId val="91668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16683960"/>
        <c:crosses val="autoZero"/>
        <c:auto val="1"/>
        <c:lblAlgn val="ctr"/>
        <c:lblOffset val="100"/>
        <c:noMultiLvlLbl val="0"/>
      </c:catAx>
      <c:valAx>
        <c:axId val="91668396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16683568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7077260796945805E-2"/>
          <c:y val="9.2143117526975696E-2"/>
          <c:w val="0.33757112477728601"/>
          <c:h val="0.1114610673665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9C9BA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DF-4E3E-9BF2-1CF06E290E6B}"/>
              </c:ext>
            </c:extLst>
          </c:dPt>
          <c:dPt>
            <c:idx val="4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DF-4E3E-9BF2-1CF06E290E6B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ADF-4E3E-9BF2-1CF06E290E6B}"/>
              </c:ext>
            </c:extLst>
          </c:dPt>
          <c:cat>
            <c:strRef>
              <c:f>'Graf 11 '!$K$7:$K$21</c:f>
              <c:strCache>
                <c:ptCount val="15"/>
                <c:pt idx="0">
                  <c:v>Saldo VS - rozpočet</c:v>
                </c:pt>
                <c:pt idx="1">
                  <c:v>Vyššie odvody (D.61)</c:v>
                </c:pt>
                <c:pt idx="2">
                  <c:v>Vyššie daňové príjmy (D.2+D.5+D.91)</c:v>
                </c:pt>
                <c:pt idx="3">
                  <c:v>Vyššie granty a transfery (D.39+D.7R+D.9R)</c:v>
                </c:pt>
                <c:pt idx="4">
                  <c:v>Nižšie ostatné bežné transfery (D.7P)</c:v>
                </c:pt>
                <c:pt idx="5">
                  <c:v>Nižšie dotácie (D.3P)</c:v>
                </c:pt>
                <c:pt idx="6">
                  <c:v>Nižšie výdavky na sociálne dávky (D.62P)</c:v>
                </c:pt>
                <c:pt idx="7">
                  <c:v>Úspora na úrokových nákladoch (D.41P)</c:v>
                </c:pt>
                <c:pt idx="8">
                  <c:v>Vyššie výdavky verejného zdravotného poistenia (D.632P)</c:v>
                </c:pt>
                <c:pt idx="9">
                  <c:v>Vyššia medzispotreba (P.2)</c:v>
                </c:pt>
                <c:pt idx="10">
                  <c:v>Kompenzácie zamestnancov (D.1P)</c:v>
                </c:pt>
                <c:pt idx="11">
                  <c:v>Nižšie nedaňové príjmy (P.11+P.12+P.131+D.4)</c:v>
                </c:pt>
                <c:pt idx="12">
                  <c:v>Vyššie kapitálové transfery (D.9P)</c:v>
                </c:pt>
                <c:pt idx="13">
                  <c:v>Vyššie kapitálové investície (P.5L)</c:v>
                </c:pt>
                <c:pt idx="14">
                  <c:v>Saldo VS - očakávaná skutočnosť</c:v>
                </c:pt>
              </c:strCache>
            </c:strRef>
          </c:cat>
          <c:val>
            <c:numRef>
              <c:f>'Graf 11 '!$O$7:$O$21</c:f>
              <c:numCache>
                <c:formatCode>#,##0</c:formatCode>
                <c:ptCount val="15"/>
                <c:pt idx="1">
                  <c:v>0</c:v>
                </c:pt>
                <c:pt idx="2">
                  <c:v>-342.81500000000051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105.98500000000081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ADF-4E3E-9BF2-1CF06E290E6B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11 '!$K$7:$K$21</c:f>
              <c:strCache>
                <c:ptCount val="15"/>
                <c:pt idx="0">
                  <c:v>Saldo VS - rozpočet</c:v>
                </c:pt>
                <c:pt idx="1">
                  <c:v>Vyššie odvody (D.61)</c:v>
                </c:pt>
                <c:pt idx="2">
                  <c:v>Vyššie daňové príjmy (D.2+D.5+D.91)</c:v>
                </c:pt>
                <c:pt idx="3">
                  <c:v>Vyššie granty a transfery (D.39+D.7R+D.9R)</c:v>
                </c:pt>
                <c:pt idx="4">
                  <c:v>Nižšie ostatné bežné transfery (D.7P)</c:v>
                </c:pt>
                <c:pt idx="5">
                  <c:v>Nižšie dotácie (D.3P)</c:v>
                </c:pt>
                <c:pt idx="6">
                  <c:v>Nižšie výdavky na sociálne dávky (D.62P)</c:v>
                </c:pt>
                <c:pt idx="7">
                  <c:v>Úspora na úrokových nákladoch (D.41P)</c:v>
                </c:pt>
                <c:pt idx="8">
                  <c:v>Vyššie výdavky verejného zdravotného poistenia (D.632P)</c:v>
                </c:pt>
                <c:pt idx="9">
                  <c:v>Vyššia medzispotreba (P.2)</c:v>
                </c:pt>
                <c:pt idx="10">
                  <c:v>Kompenzácie zamestnancov (D.1P)</c:v>
                </c:pt>
                <c:pt idx="11">
                  <c:v>Nižšie nedaňové príjmy (P.11+P.12+P.131+D.4)</c:v>
                </c:pt>
                <c:pt idx="12">
                  <c:v>Vyššie kapitálové transfery (D.9P)</c:v>
                </c:pt>
                <c:pt idx="13">
                  <c:v>Vyššie kapitálové investície (P.5L)</c:v>
                </c:pt>
                <c:pt idx="14">
                  <c:v>Saldo VS - očakávaná skutočnosť</c:v>
                </c:pt>
              </c:strCache>
            </c:strRef>
          </c:cat>
          <c:val>
            <c:numRef>
              <c:f>'Graf 11 '!$P$7:$P$21</c:f>
              <c:numCache>
                <c:formatCode>#,##0</c:formatCode>
                <c:ptCount val="15"/>
                <c:pt idx="1">
                  <c:v>-342.81500000000051</c:v>
                </c:pt>
                <c:pt idx="2">
                  <c:v>0</c:v>
                </c:pt>
                <c:pt idx="3">
                  <c:v>49.820999999999913</c:v>
                </c:pt>
                <c:pt idx="4">
                  <c:v>433.6239999999998</c:v>
                </c:pt>
                <c:pt idx="5">
                  <c:v>729.40999999999985</c:v>
                </c:pt>
                <c:pt idx="6">
                  <c:v>771.90099999999984</c:v>
                </c:pt>
                <c:pt idx="7">
                  <c:v>797.73999999999978</c:v>
                </c:pt>
                <c:pt idx="8">
                  <c:v>777.1459999999995</c:v>
                </c:pt>
                <c:pt idx="9">
                  <c:v>723.93299999999977</c:v>
                </c:pt>
                <c:pt idx="10">
                  <c:v>603.42300000000046</c:v>
                </c:pt>
                <c:pt idx="11">
                  <c:v>382.76600000000076</c:v>
                </c:pt>
                <c:pt idx="12">
                  <c:v>105.98500000000081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ADF-4E3E-9BF2-1CF06E290E6B}"/>
            </c:ext>
          </c:extLst>
        </c:ser>
        <c:ser>
          <c:idx val="2"/>
          <c:order val="2"/>
          <c:spPr>
            <a:solidFill>
              <a:srgbClr val="ED7D31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ADF-4E3E-9BF2-1CF06E290E6B}"/>
              </c:ext>
            </c:extLst>
          </c:dPt>
          <c:dPt>
            <c:idx val="1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ADF-4E3E-9BF2-1CF06E290E6B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ADF-4E3E-9BF2-1CF06E290E6B}"/>
              </c:ext>
            </c:extLst>
          </c:dPt>
          <c:dPt>
            <c:idx val="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ADF-4E3E-9BF2-1CF06E290E6B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ADF-4E3E-9BF2-1CF06E290E6B}"/>
              </c:ext>
            </c:extLst>
          </c:dPt>
          <c:dPt>
            <c:idx val="5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ADF-4E3E-9BF2-1CF06E290E6B}"/>
              </c:ext>
            </c:extLst>
          </c:dPt>
          <c:dPt>
            <c:idx val="6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6ADF-4E3E-9BF2-1CF06E290E6B}"/>
              </c:ext>
            </c:extLst>
          </c:dPt>
          <c:dPt>
            <c:idx val="7"/>
            <c:invertIfNegative val="0"/>
            <c:bubble3D val="0"/>
            <c:spPr>
              <a:solidFill>
                <a:srgbClr val="B0D6A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6ADF-4E3E-9BF2-1CF06E290E6B}"/>
              </c:ext>
            </c:extLst>
          </c:dPt>
          <c:dPt>
            <c:idx val="8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6ADF-4E3E-9BF2-1CF06E290E6B}"/>
              </c:ext>
            </c:extLst>
          </c:dPt>
          <c:dPt>
            <c:idx val="9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6ADF-4E3E-9BF2-1CF06E290E6B}"/>
              </c:ext>
            </c:extLst>
          </c:dPt>
          <c:dPt>
            <c:idx val="10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6ADF-4E3E-9BF2-1CF06E290E6B}"/>
              </c:ext>
            </c:extLst>
          </c:dPt>
          <c:dPt>
            <c:idx val="11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6ADF-4E3E-9BF2-1CF06E290E6B}"/>
              </c:ext>
            </c:extLst>
          </c:dPt>
          <c:dPt>
            <c:idx val="12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6ADF-4E3E-9BF2-1CF06E290E6B}"/>
              </c:ext>
            </c:extLst>
          </c:dPt>
          <c:dPt>
            <c:idx val="13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6ADF-4E3E-9BF2-1CF06E290E6B}"/>
              </c:ext>
            </c:extLst>
          </c:dPt>
          <c:dPt>
            <c:idx val="14"/>
            <c:invertIfNegative val="0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6ADF-4E3E-9BF2-1CF06E290E6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2D889E1-55AA-421F-95AF-86DEC4958B51}" type="VALUE">
                      <a:rPr lang="en-US"/>
                      <a:pPr/>
                      <a:t>[HODNOTA]</a:t>
                    </a:fld>
                    <a:r>
                      <a:rPr lang="en-US"/>
                      <a:t> (-0,83 %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ADF-4E3E-9BF2-1CF06E290E6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564648213455815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9.5138350032578714E-3"/>
                  <c:y val="6.2904060299832207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-121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79500987255429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8548827378186052E-3"/>
                  <c:y val="-1.3542472057284424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-649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AD4C3236-C658-4B89-A29E-D3A755EAA195}" type="VALU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[HODNOTA]</a:t>
                    </a:fld>
                    <a:r>
                      <a:rPr lang="en-US"/>
                      <a:t> (-0,60 % HDP)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ADF-4E3E-9BF2-1CF06E290E6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11 '!$K$7:$K$21</c:f>
              <c:strCache>
                <c:ptCount val="15"/>
                <c:pt idx="0">
                  <c:v>Saldo VS - rozpočet</c:v>
                </c:pt>
                <c:pt idx="1">
                  <c:v>Vyššie odvody (D.61)</c:v>
                </c:pt>
                <c:pt idx="2">
                  <c:v>Vyššie daňové príjmy (D.2+D.5+D.91)</c:v>
                </c:pt>
                <c:pt idx="3">
                  <c:v>Vyššie granty a transfery (D.39+D.7R+D.9R)</c:v>
                </c:pt>
                <c:pt idx="4">
                  <c:v>Nižšie ostatné bežné transfery (D.7P)</c:v>
                </c:pt>
                <c:pt idx="5">
                  <c:v>Nižšie dotácie (D.3P)</c:v>
                </c:pt>
                <c:pt idx="6">
                  <c:v>Nižšie výdavky na sociálne dávky (D.62P)</c:v>
                </c:pt>
                <c:pt idx="7">
                  <c:v>Úspora na úrokových nákladoch (D.41P)</c:v>
                </c:pt>
                <c:pt idx="8">
                  <c:v>Vyššie výdavky verejného zdravotného poistenia (D.632P)</c:v>
                </c:pt>
                <c:pt idx="9">
                  <c:v>Vyššia medzispotreba (P.2)</c:v>
                </c:pt>
                <c:pt idx="10">
                  <c:v>Kompenzácie zamestnancov (D.1P)</c:v>
                </c:pt>
                <c:pt idx="11">
                  <c:v>Nižšie nedaňové príjmy (P.11+P.12+P.131+D.4)</c:v>
                </c:pt>
                <c:pt idx="12">
                  <c:v>Vyššie kapitálové transfery (D.9P)</c:v>
                </c:pt>
                <c:pt idx="13">
                  <c:v>Vyššie kapitálové investície (P.5L)</c:v>
                </c:pt>
                <c:pt idx="14">
                  <c:v>Saldo VS - očakávaná skutočnosť</c:v>
                </c:pt>
              </c:strCache>
            </c:strRef>
          </c:cat>
          <c:val>
            <c:numRef>
              <c:f>'Graf 11 '!$Q$7:$Q$21</c:f>
              <c:numCache>
                <c:formatCode>#,##0</c:formatCode>
                <c:ptCount val="15"/>
                <c:pt idx="0">
                  <c:v>-742.81100000000151</c:v>
                </c:pt>
                <c:pt idx="1">
                  <c:v>-399.996000000001</c:v>
                </c:pt>
                <c:pt idx="2">
                  <c:v>49.820999999999913</c:v>
                </c:pt>
                <c:pt idx="3">
                  <c:v>383.80299999999988</c:v>
                </c:pt>
                <c:pt idx="4">
                  <c:v>295.78600000000006</c:v>
                </c:pt>
                <c:pt idx="5">
                  <c:v>42.490999999999929</c:v>
                </c:pt>
                <c:pt idx="6">
                  <c:v>25.838999999999942</c:v>
                </c:pt>
                <c:pt idx="7">
                  <c:v>6.6310000000000855</c:v>
                </c:pt>
                <c:pt idx="8">
                  <c:v>27.225000000000364</c:v>
                </c:pt>
                <c:pt idx="9">
                  <c:v>53.212999999999738</c:v>
                </c:pt>
                <c:pt idx="10">
                  <c:v>120.50999999999931</c:v>
                </c:pt>
                <c:pt idx="11">
                  <c:v>220.6569999999997</c:v>
                </c:pt>
                <c:pt idx="12">
                  <c:v>276.78099999999995</c:v>
                </c:pt>
                <c:pt idx="13">
                  <c:v>-542.96699999999896</c:v>
                </c:pt>
                <c:pt idx="14">
                  <c:v>-542.96699999999896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6ADF-4E3E-9BF2-1CF06E29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16684352"/>
        <c:axId val="890430928"/>
      </c:barChart>
      <c:catAx>
        <c:axId val="916684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890430928"/>
        <c:crosses val="autoZero"/>
        <c:auto val="1"/>
        <c:lblAlgn val="ctr"/>
        <c:lblOffset val="100"/>
        <c:noMultiLvlLbl val="0"/>
      </c:catAx>
      <c:valAx>
        <c:axId val="890430928"/>
        <c:scaling>
          <c:orientation val="minMax"/>
          <c:max val="900"/>
          <c:min val="-15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916684352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12899279016979E-2"/>
          <c:y val="0.15064589480014279"/>
          <c:w val="0.93750478725638531"/>
          <c:h val="0.71122896034177108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1 + 2'!$E$19</c:f>
              <c:strCache>
                <c:ptCount val="1"/>
                <c:pt idx="0">
                  <c:v>Hrubý dlh (očistený o EFSF a ESM)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+ 2'!$G$19:$L$19</c:f>
              <c:numCache>
                <c:formatCode>0.0</c:formatCode>
                <c:ptCount val="6"/>
                <c:pt idx="0">
                  <c:v>48.645907214378106</c:v>
                </c:pt>
                <c:pt idx="1">
                  <c:v>47.954364155580294</c:v>
                </c:pt>
                <c:pt idx="2">
                  <c:v>45.867630609083299</c:v>
                </c:pt>
                <c:pt idx="3">
                  <c:v>44.63580504767399</c:v>
                </c:pt>
                <c:pt idx="4">
                  <c:v>43.524431982921939</c:v>
                </c:pt>
                <c:pt idx="5">
                  <c:v>42.48712113334058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86-4856-BF86-59C9819CDC9E}"/>
            </c:ext>
          </c:extLst>
        </c:ser>
        <c:ser>
          <c:idx val="2"/>
          <c:order val="3"/>
          <c:tx>
            <c:strRef>
              <c:f>'Graf 1 + 2'!$E$20</c:f>
              <c:strCache>
                <c:ptCount val="1"/>
                <c:pt idx="0">
                  <c:v>EFSF a ESM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+ 2'!$G$20:$L$20</c:f>
              <c:numCache>
                <c:formatCode>0.0</c:formatCode>
                <c:ptCount val="6"/>
                <c:pt idx="0">
                  <c:v>3.1268776154387958</c:v>
                </c:pt>
                <c:pt idx="1">
                  <c:v>2.9932984479770659</c:v>
                </c:pt>
                <c:pt idx="2">
                  <c:v>2.8120273418563317</c:v>
                </c:pt>
                <c:pt idx="3">
                  <c:v>2.625504352900125</c:v>
                </c:pt>
                <c:pt idx="4">
                  <c:v>2.4652528284020114</c:v>
                </c:pt>
                <c:pt idx="5">
                  <c:v>2.3279891049613251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86-4856-BF86-59C9819C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overlap val="100"/>
        <c:axId val="913830768"/>
        <c:axId val="913831160"/>
      </c:barChart>
      <c:lineChart>
        <c:grouping val="standard"/>
        <c:varyColors val="0"/>
        <c:ser>
          <c:idx val="4"/>
          <c:order val="0"/>
          <c:tx>
            <c:strRef>
              <c:f>'Graf 1 + 2'!$E$26</c:f>
              <c:strCache>
                <c:ptCount val="1"/>
                <c:pt idx="0">
                  <c:v>57-60% HDP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+ 2'!$G$26:$L$26</c:f>
              <c:numCache>
                <c:formatCode>0.0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56</c:v>
                </c:pt>
                <c:pt idx="3">
                  <c:v>55</c:v>
                </c:pt>
                <c:pt idx="4">
                  <c:v>54</c:v>
                </c:pt>
                <c:pt idx="5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F86-4856-BF86-59C9819CDC9E}"/>
            </c:ext>
          </c:extLst>
        </c:ser>
        <c:ser>
          <c:idx val="3"/>
          <c:order val="1"/>
          <c:tx>
            <c:strRef>
              <c:f>'Graf 1 + 2'!$E$23</c:f>
              <c:strCache>
                <c:ptCount val="1"/>
                <c:pt idx="0">
                  <c:v>50-53% HDP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+ 2'!$G$23:$L$23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F86-4856-BF86-59C9819CDC9E}"/>
            </c:ext>
          </c:extLst>
        </c:ser>
        <c:ser>
          <c:idx val="1"/>
          <c:order val="4"/>
          <c:tx>
            <c:strRef>
              <c:f>'Graf 1 + 2'!$E$18</c:f>
              <c:strCache>
                <c:ptCount val="1"/>
                <c:pt idx="0">
                  <c:v>Hrubý dlh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6158987639362513E-2"/>
                  <c:y val="-8.253036262023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F86-4856-BF86-59C9819CDC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158987639362513E-2"/>
                  <c:y val="-9.341471169758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F86-4856-BF86-59C9819CDC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158987639362513E-2"/>
                  <c:y val="-9.885688623626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F86-4856-BF86-59C9819CDC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158987639362624E-2"/>
                  <c:y val="-9.3414711697589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F86-4856-BF86-59C9819CDC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15875"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+ 2'!$G$18:$L$18</c:f>
              <c:numCache>
                <c:formatCode>0.0</c:formatCode>
                <c:ptCount val="6"/>
                <c:pt idx="0">
                  <c:v>51.772784829816899</c:v>
                </c:pt>
                <c:pt idx="1">
                  <c:v>50.947662603557362</c:v>
                </c:pt>
                <c:pt idx="2">
                  <c:v>48.679657950939628</c:v>
                </c:pt>
                <c:pt idx="3">
                  <c:v>47.261309400574113</c:v>
                </c:pt>
                <c:pt idx="4">
                  <c:v>45.989684811323947</c:v>
                </c:pt>
                <c:pt idx="5">
                  <c:v>44.815110238301905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F86-4856-BF86-59C9819CDC9E}"/>
            </c:ext>
          </c:extLst>
        </c:ser>
        <c:ser>
          <c:idx val="6"/>
          <c:order val="5"/>
          <c:tx>
            <c:strRef>
              <c:f>'Graf 1 + 2'!$E$21</c:f>
              <c:strCache>
                <c:ptCount val="1"/>
                <c:pt idx="0">
                  <c:v>Čistý dlh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+ 2'!$G$21:$L$21</c:f>
              <c:numCache>
                <c:formatCode>0.0</c:formatCode>
                <c:ptCount val="6"/>
                <c:pt idx="0">
                  <c:v>46.888509555300054</c:v>
                </c:pt>
                <c:pt idx="1">
                  <c:v>45.575937143558477</c:v>
                </c:pt>
                <c:pt idx="2">
                  <c:v>43.393033307834287</c:v>
                </c:pt>
                <c:pt idx="3">
                  <c:v>41.711231606274715</c:v>
                </c:pt>
                <c:pt idx="4">
                  <c:v>40.052108160419579</c:v>
                </c:pt>
                <c:pt idx="5">
                  <c:v>38.542184262099305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F86-4856-BF86-59C9819C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30768"/>
        <c:axId val="913831160"/>
      </c:lineChart>
      <c:catAx>
        <c:axId val="9138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sk-SK"/>
          </a:p>
        </c:txPr>
        <c:crossAx val="913831160"/>
        <c:crosses val="autoZero"/>
        <c:auto val="1"/>
        <c:lblAlgn val="ctr"/>
        <c:lblOffset val="100"/>
        <c:noMultiLvlLbl val="0"/>
      </c:catAx>
      <c:valAx>
        <c:axId val="913831160"/>
        <c:scaling>
          <c:orientation val="minMax"/>
          <c:min val="3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  <a:prstDash val="sysDot"/>
          </a:ln>
        </c:spPr>
        <c:crossAx val="913830768"/>
        <c:crosses val="max"/>
        <c:crossBetween val="between"/>
        <c:majorUnit val="5"/>
      </c:valAx>
      <c:spPr>
        <a:noFill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3695041630982152E-2"/>
          <c:y val="2.8569000722285114E-2"/>
          <c:w val="0.90013784027123867"/>
          <c:h val="0.13228673591009707"/>
        </c:manualLayout>
      </c:layout>
      <c:overlay val="0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9C9BA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DF-4E3E-9BF2-1CF06E290E6B}"/>
              </c:ext>
            </c:extLst>
          </c:dPt>
          <c:dPt>
            <c:idx val="4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DF-4E3E-9BF2-1CF06E290E6B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ADF-4E3E-9BF2-1CF06E290E6B}"/>
              </c:ext>
            </c:extLst>
          </c:dPt>
          <c:cat>
            <c:strRef>
              <c:f>'Graf 11 '!$L$7:$L$21</c:f>
              <c:strCache>
                <c:ptCount val="15"/>
                <c:pt idx="0">
                  <c:v>Headline balance - Final</c:v>
                </c:pt>
                <c:pt idx="1">
                  <c:v>Higher Social Security Contributions  (D.61)</c:v>
                </c:pt>
                <c:pt idx="2">
                  <c:v>Higher Tax revenue (D.2+D.5+D.91)</c:v>
                </c:pt>
                <c:pt idx="3">
                  <c:v>Higher Grants and transfers (D.39+D.7R+D.9R)</c:v>
                </c:pt>
                <c:pt idx="4">
                  <c:v>Lower Other current transfers (D.7P)</c:v>
                </c:pt>
                <c:pt idx="5">
                  <c:v>Lower Subsidies (D.3P)</c:v>
                </c:pt>
                <c:pt idx="6">
                  <c:v>Lower social benefits expenditure (D.62P)</c:v>
                </c:pt>
                <c:pt idx="7">
                  <c:v>Lower interest expenditure (D.41P)</c:v>
                </c:pt>
                <c:pt idx="8">
                  <c:v>Higher on Social transfers in kind (healthcare facilities) (D.632P)</c:v>
                </c:pt>
                <c:pt idx="9">
                  <c:v>Higher Intermediate Consumption (P.2)</c:v>
                </c:pt>
                <c:pt idx="10">
                  <c:v>Compensation of employees (D.1P)</c:v>
                </c:pt>
                <c:pt idx="11">
                  <c:v>Lower Nontax revenue (P.11+P.12+P.131+D.4)</c:v>
                </c:pt>
                <c:pt idx="12">
                  <c:v>Higher Capital transfers (D.9P)</c:v>
                </c:pt>
                <c:pt idx="13">
                  <c:v>Higher Capital Investments (P.5L=P.51G)</c:v>
                </c:pt>
                <c:pt idx="14">
                  <c:v>Expected headline balance</c:v>
                </c:pt>
              </c:strCache>
            </c:strRef>
          </c:cat>
          <c:val>
            <c:numRef>
              <c:f>'Graf 11 '!$O$7:$O$21</c:f>
              <c:numCache>
                <c:formatCode>#,##0</c:formatCode>
                <c:ptCount val="15"/>
                <c:pt idx="1">
                  <c:v>0</c:v>
                </c:pt>
                <c:pt idx="2">
                  <c:v>-342.81500000000051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105.98500000000081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ADF-4E3E-9BF2-1CF06E290E6B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11 '!$L$7:$L$21</c:f>
              <c:strCache>
                <c:ptCount val="15"/>
                <c:pt idx="0">
                  <c:v>Headline balance - Final</c:v>
                </c:pt>
                <c:pt idx="1">
                  <c:v>Higher Social Security Contributions  (D.61)</c:v>
                </c:pt>
                <c:pt idx="2">
                  <c:v>Higher Tax revenue (D.2+D.5+D.91)</c:v>
                </c:pt>
                <c:pt idx="3">
                  <c:v>Higher Grants and transfers (D.39+D.7R+D.9R)</c:v>
                </c:pt>
                <c:pt idx="4">
                  <c:v>Lower Other current transfers (D.7P)</c:v>
                </c:pt>
                <c:pt idx="5">
                  <c:v>Lower Subsidies (D.3P)</c:v>
                </c:pt>
                <c:pt idx="6">
                  <c:v>Lower social benefits expenditure (D.62P)</c:v>
                </c:pt>
                <c:pt idx="7">
                  <c:v>Lower interest expenditure (D.41P)</c:v>
                </c:pt>
                <c:pt idx="8">
                  <c:v>Higher on Social transfers in kind (healthcare facilities) (D.632P)</c:v>
                </c:pt>
                <c:pt idx="9">
                  <c:v>Higher Intermediate Consumption (P.2)</c:v>
                </c:pt>
                <c:pt idx="10">
                  <c:v>Compensation of employees (D.1P)</c:v>
                </c:pt>
                <c:pt idx="11">
                  <c:v>Lower Nontax revenue (P.11+P.12+P.131+D.4)</c:v>
                </c:pt>
                <c:pt idx="12">
                  <c:v>Higher Capital transfers (D.9P)</c:v>
                </c:pt>
                <c:pt idx="13">
                  <c:v>Higher Capital Investments (P.5L=P.51G)</c:v>
                </c:pt>
                <c:pt idx="14">
                  <c:v>Expected headline balance</c:v>
                </c:pt>
              </c:strCache>
            </c:strRef>
          </c:cat>
          <c:val>
            <c:numRef>
              <c:f>'Graf 11 '!$P$7:$P$21</c:f>
              <c:numCache>
                <c:formatCode>#,##0</c:formatCode>
                <c:ptCount val="15"/>
                <c:pt idx="1">
                  <c:v>-342.81500000000051</c:v>
                </c:pt>
                <c:pt idx="2">
                  <c:v>0</c:v>
                </c:pt>
                <c:pt idx="3">
                  <c:v>49.820999999999913</c:v>
                </c:pt>
                <c:pt idx="4">
                  <c:v>433.6239999999998</c:v>
                </c:pt>
                <c:pt idx="5">
                  <c:v>729.40999999999985</c:v>
                </c:pt>
                <c:pt idx="6">
                  <c:v>771.90099999999984</c:v>
                </c:pt>
                <c:pt idx="7">
                  <c:v>797.73999999999978</c:v>
                </c:pt>
                <c:pt idx="8">
                  <c:v>777.1459999999995</c:v>
                </c:pt>
                <c:pt idx="9">
                  <c:v>723.93299999999977</c:v>
                </c:pt>
                <c:pt idx="10">
                  <c:v>603.42300000000046</c:v>
                </c:pt>
                <c:pt idx="11">
                  <c:v>382.76600000000076</c:v>
                </c:pt>
                <c:pt idx="12">
                  <c:v>105.98500000000081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ADF-4E3E-9BF2-1CF06E290E6B}"/>
            </c:ext>
          </c:extLst>
        </c:ser>
        <c:ser>
          <c:idx val="2"/>
          <c:order val="2"/>
          <c:spPr>
            <a:solidFill>
              <a:srgbClr val="ED7D31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ADF-4E3E-9BF2-1CF06E290E6B}"/>
              </c:ext>
            </c:extLst>
          </c:dPt>
          <c:dPt>
            <c:idx val="1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ADF-4E3E-9BF2-1CF06E290E6B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ADF-4E3E-9BF2-1CF06E290E6B}"/>
              </c:ext>
            </c:extLst>
          </c:dPt>
          <c:dPt>
            <c:idx val="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ADF-4E3E-9BF2-1CF06E290E6B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ADF-4E3E-9BF2-1CF06E290E6B}"/>
              </c:ext>
            </c:extLst>
          </c:dPt>
          <c:dPt>
            <c:idx val="5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ADF-4E3E-9BF2-1CF06E290E6B}"/>
              </c:ext>
            </c:extLst>
          </c:dPt>
          <c:dPt>
            <c:idx val="6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6ADF-4E3E-9BF2-1CF06E290E6B}"/>
              </c:ext>
            </c:extLst>
          </c:dPt>
          <c:dPt>
            <c:idx val="7"/>
            <c:invertIfNegative val="0"/>
            <c:bubble3D val="0"/>
            <c:spPr>
              <a:solidFill>
                <a:srgbClr val="B0D6A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6ADF-4E3E-9BF2-1CF06E290E6B}"/>
              </c:ext>
            </c:extLst>
          </c:dPt>
          <c:dPt>
            <c:idx val="8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6ADF-4E3E-9BF2-1CF06E290E6B}"/>
              </c:ext>
            </c:extLst>
          </c:dPt>
          <c:dPt>
            <c:idx val="9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6ADF-4E3E-9BF2-1CF06E290E6B}"/>
              </c:ext>
            </c:extLst>
          </c:dPt>
          <c:dPt>
            <c:idx val="10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6ADF-4E3E-9BF2-1CF06E290E6B}"/>
              </c:ext>
            </c:extLst>
          </c:dPt>
          <c:dPt>
            <c:idx val="11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6ADF-4E3E-9BF2-1CF06E290E6B}"/>
              </c:ext>
            </c:extLst>
          </c:dPt>
          <c:dPt>
            <c:idx val="12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6ADF-4E3E-9BF2-1CF06E290E6B}"/>
              </c:ext>
            </c:extLst>
          </c:dPt>
          <c:dPt>
            <c:idx val="13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6ADF-4E3E-9BF2-1CF06E290E6B}"/>
              </c:ext>
            </c:extLst>
          </c:dPt>
          <c:dPt>
            <c:idx val="14"/>
            <c:invertIfNegative val="0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6ADF-4E3E-9BF2-1CF06E290E6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2D889E1-55AA-421F-95AF-86DEC4958B51}" type="VALUE">
                      <a:rPr lang="en-US"/>
                      <a:pPr/>
                      <a:t>[HODNOTA]</a:t>
                    </a:fld>
                    <a:r>
                      <a:rPr lang="en-US"/>
                      <a:t> (-0,83 %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ADF-4E3E-9BF2-1CF06E290E6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564648213455815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9.5138350032578714E-3"/>
                  <c:y val="6.2904060299832207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-121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79500987255429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8548827378186052E-3"/>
                  <c:y val="-1.3542472057284424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-649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ADF-4E3E-9BF2-1CF06E290E6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AD4C3236-C658-4B89-A29E-D3A755EAA195}" type="VALU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[HODNOTA]</a:t>
                    </a:fld>
                    <a:r>
                      <a:rPr lang="en-US"/>
                      <a:t> (-0,60 % HDP)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ADF-4E3E-9BF2-1CF06E290E6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11 '!$L$7:$L$21</c:f>
              <c:strCache>
                <c:ptCount val="15"/>
                <c:pt idx="0">
                  <c:v>Headline balance - Final</c:v>
                </c:pt>
                <c:pt idx="1">
                  <c:v>Higher Social Security Contributions  (D.61)</c:v>
                </c:pt>
                <c:pt idx="2">
                  <c:v>Higher Tax revenue (D.2+D.5+D.91)</c:v>
                </c:pt>
                <c:pt idx="3">
                  <c:v>Higher Grants and transfers (D.39+D.7R+D.9R)</c:v>
                </c:pt>
                <c:pt idx="4">
                  <c:v>Lower Other current transfers (D.7P)</c:v>
                </c:pt>
                <c:pt idx="5">
                  <c:v>Lower Subsidies (D.3P)</c:v>
                </c:pt>
                <c:pt idx="6">
                  <c:v>Lower social benefits expenditure (D.62P)</c:v>
                </c:pt>
                <c:pt idx="7">
                  <c:v>Lower interest expenditure (D.41P)</c:v>
                </c:pt>
                <c:pt idx="8">
                  <c:v>Higher on Social transfers in kind (healthcare facilities) (D.632P)</c:v>
                </c:pt>
                <c:pt idx="9">
                  <c:v>Higher Intermediate Consumption (P.2)</c:v>
                </c:pt>
                <c:pt idx="10">
                  <c:v>Compensation of employees (D.1P)</c:v>
                </c:pt>
                <c:pt idx="11">
                  <c:v>Lower Nontax revenue (P.11+P.12+P.131+D.4)</c:v>
                </c:pt>
                <c:pt idx="12">
                  <c:v>Higher Capital transfers (D.9P)</c:v>
                </c:pt>
                <c:pt idx="13">
                  <c:v>Higher Capital Investments (P.5L=P.51G)</c:v>
                </c:pt>
                <c:pt idx="14">
                  <c:v>Expected headline balance</c:v>
                </c:pt>
              </c:strCache>
            </c:strRef>
          </c:cat>
          <c:val>
            <c:numRef>
              <c:f>'Graf 11 '!$Q$7:$Q$21</c:f>
              <c:numCache>
                <c:formatCode>#,##0</c:formatCode>
                <c:ptCount val="15"/>
                <c:pt idx="0">
                  <c:v>-742.81100000000151</c:v>
                </c:pt>
                <c:pt idx="1">
                  <c:v>-399.996000000001</c:v>
                </c:pt>
                <c:pt idx="2">
                  <c:v>49.820999999999913</c:v>
                </c:pt>
                <c:pt idx="3">
                  <c:v>383.80299999999988</c:v>
                </c:pt>
                <c:pt idx="4">
                  <c:v>295.78600000000006</c:v>
                </c:pt>
                <c:pt idx="5">
                  <c:v>42.490999999999929</c:v>
                </c:pt>
                <c:pt idx="6">
                  <c:v>25.838999999999942</c:v>
                </c:pt>
                <c:pt idx="7">
                  <c:v>6.6310000000000855</c:v>
                </c:pt>
                <c:pt idx="8">
                  <c:v>27.225000000000364</c:v>
                </c:pt>
                <c:pt idx="9">
                  <c:v>53.212999999999738</c:v>
                </c:pt>
                <c:pt idx="10">
                  <c:v>120.50999999999931</c:v>
                </c:pt>
                <c:pt idx="11">
                  <c:v>220.6569999999997</c:v>
                </c:pt>
                <c:pt idx="12">
                  <c:v>276.78099999999995</c:v>
                </c:pt>
                <c:pt idx="13">
                  <c:v>-542.96699999999896</c:v>
                </c:pt>
                <c:pt idx="14">
                  <c:v>-542.96699999999896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6ADF-4E3E-9BF2-1CF06E29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90431712"/>
        <c:axId val="890432104"/>
      </c:barChart>
      <c:catAx>
        <c:axId val="890431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890432104"/>
        <c:crosses val="autoZero"/>
        <c:auto val="1"/>
        <c:lblAlgn val="ctr"/>
        <c:lblOffset val="100"/>
        <c:noMultiLvlLbl val="0"/>
      </c:catAx>
      <c:valAx>
        <c:axId val="890432104"/>
        <c:scaling>
          <c:orientation val="minMax"/>
          <c:max val="900"/>
          <c:min val="-8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890431712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744094488188982E-2"/>
          <c:y val="4.8823852770616072E-2"/>
          <c:w val="0.86467249286146919"/>
          <c:h val="0.695338923342546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12'!$B$29</c:f>
              <c:strCache>
                <c:ptCount val="1"/>
                <c:pt idx="0">
                  <c:v>Vplyv efektívnych daňových sadzieb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12'!$C$29:$D$29</c:f>
              <c:numCache>
                <c:formatCode>#,##0</c:formatCode>
                <c:ptCount val="2"/>
                <c:pt idx="0">
                  <c:v>156.17665355966605</c:v>
                </c:pt>
                <c:pt idx="1">
                  <c:v>300.89842822782441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D8-40F5-B3BE-F9B2E70B6149}"/>
            </c:ext>
          </c:extLst>
        </c:ser>
        <c:ser>
          <c:idx val="8"/>
          <c:order val="1"/>
          <c:tx>
            <c:strRef>
              <c:f>'Graf 12'!$B$31</c:f>
              <c:strCache>
                <c:ptCount val="1"/>
                <c:pt idx="0">
                  <c:v>Jednorazový vplyv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3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4-54D8-40F5-B3BE-F9B2E70B614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12'!$C$31:$D$31</c:f>
              <c:numCache>
                <c:formatCode>#,##0</c:formatCode>
                <c:ptCount val="2"/>
                <c:pt idx="0">
                  <c:v>2.495511288914058</c:v>
                </c:pt>
                <c:pt idx="1">
                  <c:v>222.88158974591926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4D8-40F5-B3BE-F9B2E70B6149}"/>
            </c:ext>
          </c:extLst>
        </c:ser>
        <c:ser>
          <c:idx val="0"/>
          <c:order val="2"/>
          <c:tx>
            <c:strRef>
              <c:f>'Graf 12'!$B$28</c:f>
              <c:strCache>
                <c:ptCount val="1"/>
                <c:pt idx="0">
                  <c:v>Vplyv makroekonomického vývoja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D8-40F5-B3BE-F9B2E70B614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12'!$C$28:$D$28</c:f>
              <c:numCache>
                <c:formatCode>#,##0</c:formatCode>
                <c:ptCount val="2"/>
                <c:pt idx="0">
                  <c:v>80.961280582558587</c:v>
                </c:pt>
                <c:pt idx="1">
                  <c:v>426.9900734805903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D8-40F5-B3BE-F9B2E70B6149}"/>
            </c:ext>
          </c:extLst>
        </c:ser>
        <c:ser>
          <c:idx val="1"/>
          <c:order val="3"/>
          <c:tx>
            <c:strRef>
              <c:f>'Graf 12'!$B$30</c:f>
              <c:strCache>
                <c:ptCount val="1"/>
                <c:pt idx="0">
                  <c:v>Vplyv legislatívy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12'!$C$30:$D$30</c:f>
              <c:numCache>
                <c:formatCode>#,##0</c:formatCode>
                <c:ptCount val="2"/>
                <c:pt idx="0">
                  <c:v>-1.99817340113924</c:v>
                </c:pt>
                <c:pt idx="1">
                  <c:v>-4.764091454333669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D8-40F5-B3BE-F9B2E70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330472"/>
        <c:axId val="9333308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4"/>
                <c:tx>
                  <c:v>INÉ vplyvy</c:v>
                </c:tx>
                <c:spPr>
                  <a:solidFill>
                    <a:sysClr val="windowText" lastClr="000000">
                      <a:lumMod val="75000"/>
                      <a:lumOff val="25000"/>
                    </a:sysClr>
                  </a:solidFill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12'!$C$27:$D$27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2017</c:v>
                      </c:pt>
                      <c:pt idx="1">
                        <c:v>2018</c:v>
                      </c:pt>
                    </c:numCache>
                  </c:numRef>
                </c:cat>
                <c:val>
                  <c:numLit>
                    <c:formatCode>General</c:formatCode>
                    <c:ptCount val="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F-54D8-40F5-B3BE-F9B2E70B614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5"/>
          <c:tx>
            <c:strRef>
              <c:f>'Graf 12'!$B$32</c:f>
              <c:strCache>
                <c:ptCount val="1"/>
                <c:pt idx="0">
                  <c:v>Celková zmena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1959562746964323E-2"/>
                  <c:y val="-5.8997050147492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837731821983797E-2"/>
                  <c:y val="-4.71976401179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0247757491851914E-2"/>
                  <c:y val="-5.899705014749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B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247757491851984E-2"/>
                  <c:y val="-6.293018682399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C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748E-2"/>
                  <c:y val="-0.102261553588987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D-54D8-40F5-B3BE-F9B2E70B614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</c:numLit>
          </c:cat>
          <c:val>
            <c:numRef>
              <c:f>'Graf 12'!$C$32:$D$32</c:f>
              <c:numCache>
                <c:formatCode>#,##0</c:formatCode>
                <c:ptCount val="2"/>
                <c:pt idx="0">
                  <c:v>237.63527202999947</c:v>
                </c:pt>
                <c:pt idx="1">
                  <c:v>946.00600000000031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54D8-40F5-B3BE-F9B2E70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330472"/>
        <c:axId val="933330864"/>
      </c:lineChart>
      <c:catAx>
        <c:axId val="93333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33330864"/>
        <c:crosses val="autoZero"/>
        <c:auto val="1"/>
        <c:lblAlgn val="ctr"/>
        <c:lblOffset val="100"/>
        <c:noMultiLvlLbl val="0"/>
      </c:catAx>
      <c:valAx>
        <c:axId val="9333308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93333047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2091373193735395E-2"/>
          <c:y val="0.81683072801740508"/>
          <c:w val="0.98790862680626446"/>
          <c:h val="0.16875571969433023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5759755030621188"/>
          <c:h val="0.653777704870224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12'!$H$29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12'!$I$29:$J$29</c:f>
              <c:numCache>
                <c:formatCode>#,##0</c:formatCode>
                <c:ptCount val="2"/>
                <c:pt idx="0">
                  <c:v>-10.003241610000117</c:v>
                </c:pt>
                <c:pt idx="1">
                  <c:v>112.54099999999988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13-40AD-A4C0-32B430577D0C}"/>
            </c:ext>
          </c:extLst>
        </c:ser>
        <c:ser>
          <c:idx val="8"/>
          <c:order val="1"/>
          <c:tx>
            <c:strRef>
              <c:f>'Graf 12'!$H$30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12'!$I$30:$J$30</c:f>
              <c:numCache>
                <c:formatCode>#,##0</c:formatCode>
                <c:ptCount val="2"/>
                <c:pt idx="0">
                  <c:v>212.57900000000004</c:v>
                </c:pt>
                <c:pt idx="1">
                  <c:v>122.61899999999977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13-40AD-A4C0-32B430577D0C}"/>
            </c:ext>
          </c:extLst>
        </c:ser>
        <c:ser>
          <c:idx val="0"/>
          <c:order val="2"/>
          <c:tx>
            <c:strRef>
              <c:f>'Graf 12'!$H$31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rgbClr val="B0D6AF">
                <a:lumMod val="75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12'!$I$31:$J$31</c:f>
              <c:numCache>
                <c:formatCode>#,##0</c:formatCode>
                <c:ptCount val="2"/>
                <c:pt idx="0">
                  <c:v>36.491211099997081</c:v>
                </c:pt>
                <c:pt idx="1">
                  <c:v>245.09400000000093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13-40AD-A4C0-32B430577D0C}"/>
            </c:ext>
          </c:extLst>
        </c:ser>
        <c:ser>
          <c:idx val="1"/>
          <c:order val="3"/>
          <c:tx>
            <c:strRef>
              <c:f>'Graf 12'!$H$33</c:f>
              <c:strCache>
                <c:ptCount val="1"/>
                <c:pt idx="0">
                  <c:v>Jednorazové sociálne odvody</c:v>
                </c:pt>
              </c:strCache>
            </c:strRef>
          </c:tx>
          <c:spPr>
            <a:solidFill>
              <a:srgbClr val="2C9ADC">
                <a:lumMod val="60000"/>
                <a:lumOff val="40000"/>
              </a:srgbClr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6-C713-40AD-A4C0-32B430577D0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7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12'!$I$33:$J$33</c:f>
              <c:numCache>
                <c:formatCode>#,##0</c:formatCode>
                <c:ptCount val="2"/>
                <c:pt idx="1">
                  <c:v>187.21899999999999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13-40AD-A4C0-32B430577D0C}"/>
            </c:ext>
          </c:extLst>
        </c:ser>
        <c:ser>
          <c:idx val="2"/>
          <c:order val="4"/>
          <c:tx>
            <c:strRef>
              <c:f>'Graf 12'!$H$32</c:f>
              <c:strCache>
                <c:ptCount val="1"/>
                <c:pt idx="0">
                  <c:v>Sociálne odvody</c:v>
                </c:pt>
              </c:strCache>
            </c:strRef>
          </c:tx>
          <c:spPr>
            <a:solidFill>
              <a:srgbClr val="44546A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12'!$I$32:$J$32</c:f>
              <c:numCache>
                <c:formatCode>#,##0</c:formatCode>
                <c:ptCount val="2"/>
                <c:pt idx="0">
                  <c:v>33.106000000000066</c:v>
                </c:pt>
                <c:pt idx="1">
                  <c:v>193.15199999999913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713-40AD-A4C0-32B430577D0C}"/>
            </c:ext>
          </c:extLst>
        </c:ser>
        <c:ser>
          <c:idx val="3"/>
          <c:order val="5"/>
          <c:tx>
            <c:strRef>
              <c:f>'Graf 12'!$H$34</c:f>
              <c:strCache>
                <c:ptCount val="1"/>
                <c:pt idx="0">
                  <c:v>Zdravotné odvody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12'!$I$34:$J$34</c:f>
              <c:numCache>
                <c:formatCode>#,##0</c:formatCode>
                <c:ptCount val="2"/>
                <c:pt idx="0">
                  <c:v>-0.9466388899981466</c:v>
                </c:pt>
                <c:pt idx="1">
                  <c:v>114.19500000000018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713-40AD-A4C0-32B430577D0C}"/>
            </c:ext>
          </c:extLst>
        </c:ser>
        <c:ser>
          <c:idx val="4"/>
          <c:order val="6"/>
          <c:tx>
            <c:strRef>
              <c:f>'Graf 12'!$H$35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rgbClr val="D9D3AB">
                <a:lumMod val="75000"/>
              </a:srgbClr>
            </a:solidFill>
          </c:spPr>
          <c:invertIfNegative val="0"/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12'!$I$35:$J$35</c:f>
              <c:numCache>
                <c:formatCode>#,##0</c:formatCode>
                <c:ptCount val="2"/>
                <c:pt idx="0">
                  <c:v>-33.591058569999774</c:v>
                </c:pt>
                <c:pt idx="1">
                  <c:v>-28.814000000000306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713-40AD-A4C0-32B430577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331648"/>
        <c:axId val="933332040"/>
      </c:barChart>
      <c:lineChart>
        <c:grouping val="standard"/>
        <c:varyColors val="0"/>
        <c:ser>
          <c:idx val="6"/>
          <c:order val="7"/>
          <c:tx>
            <c:strRef>
              <c:f>'Graf 12'!$H$36</c:f>
              <c:strCache>
                <c:ptCount val="1"/>
                <c:pt idx="0">
                  <c:v>Daňové príjmy spolu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17969363998992E-2"/>
                  <c:y val="-7.740740740740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</c:numLit>
          </c:cat>
          <c:val>
            <c:numRef>
              <c:f>'Graf 12'!$I$36:$J$36</c:f>
              <c:numCache>
                <c:formatCode>#,##0</c:formatCode>
                <c:ptCount val="2"/>
                <c:pt idx="0">
                  <c:v>237.63527202999913</c:v>
                </c:pt>
                <c:pt idx="1">
                  <c:v>946.00599999999963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713-40AD-A4C0-32B430577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331648"/>
        <c:axId val="933332040"/>
      </c:lineChart>
      <c:catAx>
        <c:axId val="9333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933332040"/>
        <c:crosses val="autoZero"/>
        <c:auto val="1"/>
        <c:lblAlgn val="ctr"/>
        <c:lblOffset val="100"/>
        <c:noMultiLvlLbl val="0"/>
      </c:catAx>
      <c:valAx>
        <c:axId val="933332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33331648"/>
        <c:crosses val="autoZero"/>
        <c:crossBetween val="between"/>
      </c:val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1.7052656553524032E-2"/>
          <c:y val="0.79931977252843411"/>
          <c:w val="0.96212820855020253"/>
          <c:h val="0.19605059784193643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744094488188982E-2"/>
          <c:y val="4.8823852770616072E-2"/>
          <c:w val="0.86467249286146919"/>
          <c:h val="0.695338923342546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12'!$B$35</c:f>
              <c:strCache>
                <c:ptCount val="1"/>
                <c:pt idx="0">
                  <c:v>ETR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12'!$C$29:$D$29</c:f>
              <c:numCache>
                <c:formatCode>#,##0</c:formatCode>
                <c:ptCount val="2"/>
                <c:pt idx="0">
                  <c:v>156.17665355966605</c:v>
                </c:pt>
                <c:pt idx="1">
                  <c:v>300.89842822782441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D8-40F5-B3BE-F9B2E70B6149}"/>
            </c:ext>
          </c:extLst>
        </c:ser>
        <c:ser>
          <c:idx val="8"/>
          <c:order val="1"/>
          <c:tx>
            <c:strRef>
              <c:f>'Graf 12'!$B$37</c:f>
              <c:strCache>
                <c:ptCount val="1"/>
                <c:pt idx="0">
                  <c:v>One-offs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3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4-54D8-40F5-B3BE-F9B2E70B614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12'!$C$31:$D$31</c:f>
              <c:numCache>
                <c:formatCode>#,##0</c:formatCode>
                <c:ptCount val="2"/>
                <c:pt idx="0">
                  <c:v>2.495511288914058</c:v>
                </c:pt>
                <c:pt idx="1">
                  <c:v>222.88158974591926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4D8-40F5-B3BE-F9B2E70B6149}"/>
            </c:ext>
          </c:extLst>
        </c:ser>
        <c:ser>
          <c:idx val="0"/>
          <c:order val="2"/>
          <c:tx>
            <c:strRef>
              <c:f>'Graf 12'!$B$34</c:f>
              <c:strCache>
                <c:ptCount val="1"/>
                <c:pt idx="0">
                  <c:v>Macroeconomic development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D8-40F5-B3BE-F9B2E70B614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12'!$C$28:$D$28</c:f>
              <c:numCache>
                <c:formatCode>#,##0</c:formatCode>
                <c:ptCount val="2"/>
                <c:pt idx="0">
                  <c:v>80.961280582558587</c:v>
                </c:pt>
                <c:pt idx="1">
                  <c:v>426.9900734805903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D8-40F5-B3BE-F9B2E70B6149}"/>
            </c:ext>
          </c:extLst>
        </c:ser>
        <c:ser>
          <c:idx val="1"/>
          <c:order val="3"/>
          <c:tx>
            <c:strRef>
              <c:f>'Graf 12'!$B$36</c:f>
              <c:strCache>
                <c:ptCount val="1"/>
                <c:pt idx="0">
                  <c:v>Legislation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cat>
            <c:numRef>
              <c:f>'Graf 12'!$C$27:$D$27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12'!$C$30:$D$30</c:f>
              <c:numCache>
                <c:formatCode>#,##0</c:formatCode>
                <c:ptCount val="2"/>
                <c:pt idx="0">
                  <c:v>-1.99817340113924</c:v>
                </c:pt>
                <c:pt idx="1">
                  <c:v>-4.764091454333669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D8-40F5-B3BE-F9B2E70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0146168"/>
        <c:axId val="9801465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4"/>
                <c:tx>
                  <c:v>INÉ vplyvy</c:v>
                </c:tx>
                <c:spPr>
                  <a:solidFill>
                    <a:sysClr val="windowText" lastClr="000000">
                      <a:lumMod val="75000"/>
                      <a:lumOff val="25000"/>
                    </a:sysClr>
                  </a:solidFill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12'!$C$27:$D$27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2017</c:v>
                      </c:pt>
                      <c:pt idx="1">
                        <c:v>2018</c:v>
                      </c:pt>
                    </c:numCache>
                  </c:numRef>
                </c:cat>
                <c:val>
                  <c:numLit>
                    <c:formatCode>General</c:formatCode>
                    <c:ptCount val="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F-54D8-40F5-B3BE-F9B2E70B614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5"/>
          <c:tx>
            <c:strRef>
              <c:f>'Graf 12'!$B$38</c:f>
              <c:strCache>
                <c:ptCount val="1"/>
                <c:pt idx="0">
                  <c:v>Total 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1959562746964323E-2"/>
                  <c:y val="-5.8997050147492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837731821983797E-2"/>
                  <c:y val="-4.71976401179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0247757491851914E-2"/>
                  <c:y val="-5.899705014749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B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247757491851984E-2"/>
                  <c:y val="-6.293018682399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C-54D8-40F5-B3BE-F9B2E70B614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748E-2"/>
                  <c:y val="-0.102261553588987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D-54D8-40F5-B3BE-F9B2E70B614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</c:numLit>
          </c:cat>
          <c:val>
            <c:numRef>
              <c:f>'Graf 12'!$C$32:$D$32</c:f>
              <c:numCache>
                <c:formatCode>#,##0</c:formatCode>
                <c:ptCount val="2"/>
                <c:pt idx="0">
                  <c:v>237.63527202999947</c:v>
                </c:pt>
                <c:pt idx="1">
                  <c:v>946.00600000000031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54D8-40F5-B3BE-F9B2E70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146168"/>
        <c:axId val="980146560"/>
      </c:lineChart>
      <c:catAx>
        <c:axId val="980146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80146560"/>
        <c:crosses val="autoZero"/>
        <c:auto val="1"/>
        <c:lblAlgn val="ctr"/>
        <c:lblOffset val="100"/>
        <c:noMultiLvlLbl val="0"/>
      </c:catAx>
      <c:valAx>
        <c:axId val="980146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980146168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2091373193735395E-2"/>
          <c:y val="0.81683072801740508"/>
          <c:w val="0.98790862680626446"/>
          <c:h val="0.16875571969433023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5759755030621188"/>
          <c:h val="0.653777704870224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12'!$G$29</c:f>
              <c:strCache>
                <c:ptCount val="1"/>
                <c:pt idx="0">
                  <c:v>PIT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12'!$I$29:$J$29</c:f>
              <c:numCache>
                <c:formatCode>#,##0</c:formatCode>
                <c:ptCount val="2"/>
                <c:pt idx="0">
                  <c:v>-10.003241610000117</c:v>
                </c:pt>
                <c:pt idx="1">
                  <c:v>112.54099999999988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13-40AD-A4C0-32B430577D0C}"/>
            </c:ext>
          </c:extLst>
        </c:ser>
        <c:ser>
          <c:idx val="8"/>
          <c:order val="1"/>
          <c:tx>
            <c:strRef>
              <c:f>'Graf 12'!$G$30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12'!$I$30:$J$30</c:f>
              <c:numCache>
                <c:formatCode>#,##0</c:formatCode>
                <c:ptCount val="2"/>
                <c:pt idx="0">
                  <c:v>212.57900000000004</c:v>
                </c:pt>
                <c:pt idx="1">
                  <c:v>122.61899999999977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13-40AD-A4C0-32B430577D0C}"/>
            </c:ext>
          </c:extLst>
        </c:ser>
        <c:ser>
          <c:idx val="0"/>
          <c:order val="2"/>
          <c:tx>
            <c:strRef>
              <c:f>'Graf 12'!$G$31</c:f>
              <c:strCache>
                <c:ptCount val="1"/>
                <c:pt idx="0">
                  <c:v>VAT</c:v>
                </c:pt>
              </c:strCache>
            </c:strRef>
          </c:tx>
          <c:spPr>
            <a:solidFill>
              <a:srgbClr val="B0D6AF">
                <a:lumMod val="75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12'!$I$31:$J$31</c:f>
              <c:numCache>
                <c:formatCode>#,##0</c:formatCode>
                <c:ptCount val="2"/>
                <c:pt idx="0">
                  <c:v>36.491211099997081</c:v>
                </c:pt>
                <c:pt idx="1">
                  <c:v>245.09400000000093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13-40AD-A4C0-32B430577D0C}"/>
            </c:ext>
          </c:extLst>
        </c:ser>
        <c:ser>
          <c:idx val="1"/>
          <c:order val="3"/>
          <c:tx>
            <c:strRef>
              <c:f>'Graf 12'!$G$33</c:f>
              <c:strCache>
                <c:ptCount val="1"/>
                <c:pt idx="0">
                  <c:v>SIC - one offs</c:v>
                </c:pt>
              </c:strCache>
            </c:strRef>
          </c:tx>
          <c:spPr>
            <a:solidFill>
              <a:srgbClr val="2C9ADC">
                <a:lumMod val="60000"/>
                <a:lumOff val="40000"/>
              </a:srgbClr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6-C713-40AD-A4C0-32B430577D0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7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12'!$I$33:$J$33</c:f>
              <c:numCache>
                <c:formatCode>#,##0</c:formatCode>
                <c:ptCount val="2"/>
                <c:pt idx="1">
                  <c:v>187.21899999999999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13-40AD-A4C0-32B430577D0C}"/>
            </c:ext>
          </c:extLst>
        </c:ser>
        <c:ser>
          <c:idx val="2"/>
          <c:order val="4"/>
          <c:tx>
            <c:strRef>
              <c:f>'Graf 12'!$G$32</c:f>
              <c:strCache>
                <c:ptCount val="1"/>
                <c:pt idx="0">
                  <c:v>SIC</c:v>
                </c:pt>
              </c:strCache>
            </c:strRef>
          </c:tx>
          <c:spPr>
            <a:solidFill>
              <a:srgbClr val="44546A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12'!$I$32:$J$32</c:f>
              <c:numCache>
                <c:formatCode>#,##0</c:formatCode>
                <c:ptCount val="2"/>
                <c:pt idx="0">
                  <c:v>33.106000000000066</c:v>
                </c:pt>
                <c:pt idx="1">
                  <c:v>193.15199999999913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713-40AD-A4C0-32B430577D0C}"/>
            </c:ext>
          </c:extLst>
        </c:ser>
        <c:ser>
          <c:idx val="3"/>
          <c:order val="5"/>
          <c:tx>
            <c:strRef>
              <c:f>'Graf 12'!$G$34</c:f>
              <c:strCache>
                <c:ptCount val="1"/>
                <c:pt idx="0">
                  <c:v>HIC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12'!$I$34:$J$34</c:f>
              <c:numCache>
                <c:formatCode>#,##0</c:formatCode>
                <c:ptCount val="2"/>
                <c:pt idx="0">
                  <c:v>-0.9466388899981466</c:v>
                </c:pt>
                <c:pt idx="1">
                  <c:v>114.19500000000018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713-40AD-A4C0-32B430577D0C}"/>
            </c:ext>
          </c:extLst>
        </c:ser>
        <c:ser>
          <c:idx val="4"/>
          <c:order val="6"/>
          <c:tx>
            <c:strRef>
              <c:f>'Graf 12'!$G$35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D9D3AB">
                <a:lumMod val="75000"/>
              </a:srgbClr>
            </a:solidFill>
          </c:spPr>
          <c:invertIfNegative val="0"/>
          <c:cat>
            <c:numRef>
              <c:f>'Graf 12'!$I$28:$J$28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'Graf 12'!$I$35:$J$35</c:f>
              <c:numCache>
                <c:formatCode>#,##0</c:formatCode>
                <c:ptCount val="2"/>
                <c:pt idx="0">
                  <c:v>-33.591058569999774</c:v>
                </c:pt>
                <c:pt idx="1">
                  <c:v>-28.814000000000306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713-40AD-A4C0-32B430577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0147344"/>
        <c:axId val="980215416"/>
      </c:barChart>
      <c:lineChart>
        <c:grouping val="standard"/>
        <c:varyColors val="0"/>
        <c:ser>
          <c:idx val="6"/>
          <c:order val="7"/>
          <c:tx>
            <c:strRef>
              <c:f>'Graf 12'!$H$36</c:f>
              <c:strCache>
                <c:ptCount val="1"/>
                <c:pt idx="0">
                  <c:v>Daňové príjmy spolu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17969363998992E-2"/>
                  <c:y val="-7.740740740740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713-40AD-A4C0-32B430577D0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</c:numLit>
          </c:cat>
          <c:val>
            <c:numRef>
              <c:f>'Graf 12'!$I$36:$J$36</c:f>
              <c:numCache>
                <c:formatCode>#,##0</c:formatCode>
                <c:ptCount val="2"/>
                <c:pt idx="0">
                  <c:v>237.63527202999913</c:v>
                </c:pt>
                <c:pt idx="1">
                  <c:v>946.00599999999963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713-40AD-A4C0-32B430577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147344"/>
        <c:axId val="980215416"/>
      </c:lineChart>
      <c:catAx>
        <c:axId val="9801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980215416"/>
        <c:crosses val="autoZero"/>
        <c:auto val="1"/>
        <c:lblAlgn val="ctr"/>
        <c:lblOffset val="100"/>
        <c:noMultiLvlLbl val="0"/>
      </c:catAx>
      <c:valAx>
        <c:axId val="980215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80147344"/>
        <c:crosses val="autoZero"/>
        <c:crossBetween val="between"/>
      </c:val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1.7052656553524032E-2"/>
          <c:y val="0.79931977252843411"/>
          <c:w val="0.96212820855020253"/>
          <c:h val="0.19605059784193643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D88-455B-AD8C-2F1242668284}"/>
              </c:ext>
            </c:extLst>
          </c:dPt>
          <c:dLbls>
            <c:dLbl>
              <c:idx val="0"/>
              <c:layout>
                <c:manualLayout>
                  <c:x val="-2.325581395348842E-2"/>
                  <c:y val="7.9254050160949233E-2"/>
                </c:manualLayout>
              </c:layout>
              <c:tx>
                <c:rich>
                  <a:bodyPr/>
                  <a:lstStyle/>
                  <a:p>
                    <a:fld id="{3607B8E5-2AA1-43A0-8F7F-976C809ADE6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8.5271317829457405E-2"/>
                  <c:y val="-5.5944035407728909E-2"/>
                </c:manualLayout>
              </c:layout>
              <c:tx>
                <c:rich>
                  <a:bodyPr/>
                  <a:lstStyle/>
                  <a:p>
                    <a:fld id="{618FA9FB-C04B-4153-B192-B7CC46E3399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939BA69-DBC0-4B68-8B47-AEC87C43856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3.8759689922480717E-2"/>
                  <c:y val="6.526804130901700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FE9953A8-B2E1-44DE-A9EC-DF5EB8F186BA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88-455B-AD8C-2F1242668284}"/>
                </c:ext>
                <c:ext xmlns:c15="http://schemas.microsoft.com/office/drawing/2012/chart" uri="{CE6537A1-D6FC-4f65-9D91-7224C49458BB}">
                  <c15:layout>
                    <c:manualLayout>
                      <c:w val="5.79328165374677E-2"/>
                      <c:h val="7.610738171268773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8.2687338501291993E-2"/>
                  <c:y val="-7.4592047210305198E-2"/>
                </c:manualLayout>
              </c:layout>
              <c:tx>
                <c:rich>
                  <a:bodyPr/>
                  <a:lstStyle/>
                  <a:p>
                    <a:fld id="{8737CDBC-9D19-487B-BEEB-5AD70953F6A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1.8087855297157621E-2"/>
                  <c:y val="6.5268041309017005E-2"/>
                </c:manualLayout>
              </c:layout>
              <c:tx>
                <c:rich>
                  <a:bodyPr/>
                  <a:lstStyle/>
                  <a:p>
                    <a:fld id="{BD1EA252-0EEE-4797-BA69-7F6B32760DB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5.1679586563308441E-3"/>
                  <c:y val="-6.0606038358372936E-2"/>
                </c:manualLayout>
              </c:layout>
              <c:tx>
                <c:rich>
                  <a:bodyPr/>
                  <a:lstStyle/>
                  <a:p>
                    <a:fld id="{7514EBFB-4A43-45EE-AF43-A5774837E20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'BOX 3 _ graf 13 + 14 _ Tab5'!$S$11:$Y$11</c:f>
              <c:numCache>
                <c:formatCode>0.0</c:formatCode>
                <c:ptCount val="7"/>
                <c:pt idx="0">
                  <c:v>-0.56939472985629158</c:v>
                </c:pt>
                <c:pt idx="1">
                  <c:v>-0.20204108893203854</c:v>
                </c:pt>
                <c:pt idx="2">
                  <c:v>0.13851173470652545</c:v>
                </c:pt>
                <c:pt idx="3" formatCode="0.00">
                  <c:v>0.55284119144566346</c:v>
                </c:pt>
                <c:pt idx="4" formatCode="0.00">
                  <c:v>1.2066913895963918</c:v>
                </c:pt>
                <c:pt idx="5">
                  <c:v>1.2809644075061895</c:v>
                </c:pt>
                <c:pt idx="6">
                  <c:v>1.2345563159508914</c:v>
                </c:pt>
              </c:numCache>
            </c:numRef>
          </c:xVal>
          <c:yVal>
            <c:numRef>
              <c:f>'BOX 3 _ graf 13 + 14 _ Tab5'!$S$10:$Y$10</c:f>
              <c:numCache>
                <c:formatCode>#\ ##0.0</c:formatCode>
                <c:ptCount val="7"/>
                <c:pt idx="0">
                  <c:v>-7.9881289855326498E-2</c:v>
                </c:pt>
                <c:pt idx="1">
                  <c:v>0.13780194411928437</c:v>
                </c:pt>
                <c:pt idx="2">
                  <c:v>1.0149049376277819</c:v>
                </c:pt>
                <c:pt idx="3" formatCode="0.00">
                  <c:v>-7.0122358552588304E-2</c:v>
                </c:pt>
                <c:pt idx="4" formatCode="0.00">
                  <c:v>0.11110404176827737</c:v>
                </c:pt>
                <c:pt idx="5">
                  <c:v>-7.3202602027254704E-3</c:v>
                </c:pt>
                <c:pt idx="6">
                  <c:v>0.15316821189746743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88-455B-AD8C-2F1242668284}"/>
            </c:ext>
            <c:ext xmlns:c15="http://schemas.microsoft.com/office/drawing/2012/chart" uri="{02D57815-91ED-43cb-92C2-25804820EDAC}">
              <c15:datalabelsRange>
                <c15:f>'BOX 3 _ graf 13 + 14 _ Tab5'!$S$6:$Y$6</c15:f>
                <c15:dlblRangeCache>
                  <c:ptCount val="7"/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216200"/>
        <c:axId val="980216592"/>
      </c:scatterChart>
      <c:valAx>
        <c:axId val="980216200"/>
        <c:scaling>
          <c:orientation val="minMax"/>
          <c:max val="2"/>
          <c:min val="-2"/>
        </c:scaling>
        <c:delete val="0"/>
        <c:axPos val="b"/>
        <c:numFmt formatCode="0.0" sourceLinked="1"/>
        <c:majorTickMark val="out"/>
        <c:minorTickMark val="none"/>
        <c:tickLblPos val="low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80216592"/>
        <c:crossesAt val="0"/>
        <c:crossBetween val="midCat"/>
      </c:valAx>
      <c:valAx>
        <c:axId val="980216592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sk-SK"/>
          </a:p>
        </c:txPr>
        <c:crossAx val="9802162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20348034530365E-2"/>
          <c:y val="7.8792204798762755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solidFill>
                <a:schemeClr val="accent1"/>
              </a:solidFill>
              <a:prstDash val="solid"/>
            </a:ln>
            <a:effectLst>
              <a:glow>
                <a:schemeClr val="accent1"/>
              </a:glow>
            </a:effectLst>
          </c:spPr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Lbls>
            <c:dLbl>
              <c:idx val="0"/>
              <c:layout>
                <c:manualLayout>
                  <c:x val="-1.5071590052750657E-2"/>
                  <c:y val="6.3091482649842406E-2"/>
                </c:manualLayout>
              </c:layout>
              <c:tx>
                <c:rich>
                  <a:bodyPr/>
                  <a:lstStyle/>
                  <a:p>
                    <a:fld id="{83E3A328-2D5B-48D0-A2C4-FB1A6D92128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9.7965335342878768E-2"/>
                  <c:y val="-4.9071153172099542E-2"/>
                </c:manualLayout>
              </c:layout>
              <c:tx>
                <c:rich>
                  <a:bodyPr/>
                  <a:lstStyle/>
                  <a:p>
                    <a:fld id="{3F7E3180-2F7A-4AED-8DF2-BF41F2AA178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2.2607385079125849E-2"/>
                  <c:y val="-6.6596565019277978E-2"/>
                </c:manualLayout>
              </c:layout>
              <c:tx>
                <c:rich>
                  <a:bodyPr/>
                  <a:lstStyle/>
                  <a:p>
                    <a:fld id="{0381CCCA-9806-4FEE-BAA0-91CA4599A18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2.2607385079125939E-2"/>
                  <c:y val="8.0616894497020683E-2"/>
                </c:manualLayout>
              </c:layout>
              <c:tx>
                <c:rich>
                  <a:bodyPr/>
                  <a:lstStyle/>
                  <a:p>
                    <a:fld id="{76867E66-DB00-48C0-8FC1-4AED6818C53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9.2103097450634457E-17"/>
                  <c:y val="-5.6081317910970971E-2"/>
                </c:manualLayout>
              </c:layout>
              <c:tx>
                <c:rich>
                  <a:bodyPr/>
                  <a:lstStyle/>
                  <a:p>
                    <a:fld id="{BBBB5A79-797B-4461-8509-B6B08F340B1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2.2607385079125849E-2"/>
                  <c:y val="5.9586400280406591E-2"/>
                </c:manualLayout>
              </c:layout>
              <c:tx>
                <c:rich>
                  <a:bodyPr/>
                  <a:lstStyle/>
                  <a:p>
                    <a:fld id="{0D2BEDE9-9987-49EA-A9C4-A0964C02B6D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9.545340366742025E-2"/>
                  <c:y val="-3.5050823694356817E-2"/>
                </c:manualLayout>
              </c:layout>
              <c:tx>
                <c:rich>
                  <a:bodyPr/>
                  <a:lstStyle/>
                  <a:p>
                    <a:fld id="{4C903DB5-FC07-473B-A0DD-3A4781322BF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'BOX 3 _ graf 13 + 14 _ Tab5'!$S$12:$Y$12</c:f>
              <c:numCache>
                <c:formatCode>0.0</c:formatCode>
                <c:ptCount val="7"/>
                <c:pt idx="0">
                  <c:v>0.86438627342873642</c:v>
                </c:pt>
                <c:pt idx="1">
                  <c:v>0.36735364092425304</c:v>
                </c:pt>
                <c:pt idx="2">
                  <c:v>0.34055282363856398</c:v>
                </c:pt>
                <c:pt idx="3" formatCode="0.00">
                  <c:v>0.41432945673913801</c:v>
                </c:pt>
                <c:pt idx="4" formatCode="0.00">
                  <c:v>0.65385019815072831</c:v>
                </c:pt>
                <c:pt idx="5">
                  <c:v>7.4273017909797678E-2</c:v>
                </c:pt>
                <c:pt idx="6">
                  <c:v>-4.6408091555298014E-2</c:v>
                </c:pt>
              </c:numCache>
            </c:numRef>
          </c:xVal>
          <c:yVal>
            <c:numRef>
              <c:f>'BOX 3 _ graf 13 + 14 _ Tab5'!$S$10:$Y$10</c:f>
              <c:numCache>
                <c:formatCode>#\ ##0.0</c:formatCode>
                <c:ptCount val="7"/>
                <c:pt idx="0">
                  <c:v>-7.9881289855326498E-2</c:v>
                </c:pt>
                <c:pt idx="1">
                  <c:v>0.13780194411928437</c:v>
                </c:pt>
                <c:pt idx="2">
                  <c:v>1.0149049376277819</c:v>
                </c:pt>
                <c:pt idx="3" formatCode="0.00">
                  <c:v>-7.0122358552588304E-2</c:v>
                </c:pt>
                <c:pt idx="4" formatCode="0.00">
                  <c:v>0.11110404176827737</c:v>
                </c:pt>
                <c:pt idx="5">
                  <c:v>-7.3202602027254704E-3</c:v>
                </c:pt>
                <c:pt idx="6">
                  <c:v>0.15316821189746743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75A7-48A7-A8CA-F6B1B263C709}"/>
            </c:ext>
            <c:ext xmlns:c15="http://schemas.microsoft.com/office/drawing/2012/chart" uri="{02D57815-91ED-43cb-92C2-25804820EDAC}">
              <c15:datalabelsRange>
                <c15:f>'BOX 3 _ graf 13 + 14 _ Tab5'!$S$6:$Y$6</c15:f>
                <c15:dlblRangeCache>
                  <c:ptCount val="7"/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091720"/>
        <c:axId val="922092112"/>
      </c:scatterChart>
      <c:valAx>
        <c:axId val="922091720"/>
        <c:scaling>
          <c:orientation val="minMax"/>
          <c:max val="2"/>
          <c:min val="-2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22092112"/>
        <c:crossesAt val="0"/>
        <c:crossBetween val="midCat"/>
      </c:valAx>
      <c:valAx>
        <c:axId val="922092112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sk-SK"/>
          </a:p>
        </c:txPr>
        <c:crossAx val="922091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228122647459757E-2"/>
          <c:y val="2.3753088576954802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D88-455B-AD8C-2F1242668284}"/>
              </c:ext>
            </c:extLst>
          </c:dPt>
          <c:dLbls>
            <c:dLbl>
              <c:idx val="0"/>
              <c:layout>
                <c:manualLayout>
                  <c:x val="-2.325581395348842E-2"/>
                  <c:y val="7.9254050160949233E-2"/>
                </c:manualLayout>
              </c:layout>
              <c:tx>
                <c:rich>
                  <a:bodyPr/>
                  <a:lstStyle/>
                  <a:p>
                    <a:fld id="{02BDA087-24F3-4BED-889B-2E68E61F7E6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8.5271317829457405E-2"/>
                  <c:y val="-5.5944035407728909E-2"/>
                </c:manualLayout>
              </c:layout>
              <c:tx>
                <c:rich>
                  <a:bodyPr/>
                  <a:lstStyle/>
                  <a:p>
                    <a:fld id="{CBEC9F72-AF54-4D0D-B622-42E5AEBB9F2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7511BC8-8956-448A-8474-35B1DE5AEDD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3.8759689922480717E-2"/>
                  <c:y val="6.5268041309017005E-2"/>
                </c:manualLayout>
              </c:layout>
              <c:tx>
                <c:rich>
                  <a:bodyPr/>
                  <a:lstStyle/>
                  <a:p>
                    <a:fld id="{3BAA6EBD-AD1B-4802-82DD-FF624FA4B06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88-455B-AD8C-2F1242668284}"/>
                </c:ext>
                <c:ext xmlns:c15="http://schemas.microsoft.com/office/drawing/2012/chart" uri="{CE6537A1-D6FC-4f65-9D91-7224C49458BB}">
                  <c15:layout>
                    <c:manualLayout>
                      <c:w val="5.79328165374677E-2"/>
                      <c:h val="7.610738171268773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8.2687338501291993E-2"/>
                  <c:y val="-7.4592047210305198E-2"/>
                </c:manualLayout>
              </c:layout>
              <c:tx>
                <c:rich>
                  <a:bodyPr/>
                  <a:lstStyle/>
                  <a:p>
                    <a:fld id="{F8152954-C214-449D-A935-E8B0DBACE37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1.8087855297157621E-2"/>
                  <c:y val="6.5268041309017005E-2"/>
                </c:manualLayout>
              </c:layout>
              <c:tx>
                <c:rich>
                  <a:bodyPr/>
                  <a:lstStyle/>
                  <a:p>
                    <a:fld id="{9C98F57A-3B35-4011-A632-1A43A8166FF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5.1679586563308441E-3"/>
                  <c:y val="-6.0606038358372936E-2"/>
                </c:manualLayout>
              </c:layout>
              <c:tx>
                <c:rich>
                  <a:bodyPr/>
                  <a:lstStyle/>
                  <a:p>
                    <a:fld id="{0738F4C8-A4EC-42BD-91DF-2F1D7121A72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D88-455B-AD8C-2F1242668284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'BOX 3 _ graf 13 + 14 _ Tab5'!$S$11:$Y$11</c:f>
              <c:numCache>
                <c:formatCode>0.0</c:formatCode>
                <c:ptCount val="7"/>
                <c:pt idx="0">
                  <c:v>-0.56939472985629158</c:v>
                </c:pt>
                <c:pt idx="1">
                  <c:v>-0.20204108893203854</c:v>
                </c:pt>
                <c:pt idx="2">
                  <c:v>0.13851173470652545</c:v>
                </c:pt>
                <c:pt idx="3" formatCode="0.00">
                  <c:v>0.55284119144566346</c:v>
                </c:pt>
                <c:pt idx="4" formatCode="0.00">
                  <c:v>1.2066913895963918</c:v>
                </c:pt>
                <c:pt idx="5">
                  <c:v>1.2809644075061895</c:v>
                </c:pt>
                <c:pt idx="6">
                  <c:v>1.2345563159508914</c:v>
                </c:pt>
              </c:numCache>
            </c:numRef>
          </c:xVal>
          <c:yVal>
            <c:numRef>
              <c:f>'BOX 3 _ graf 13 + 14 _ Tab5'!$S$10:$Y$10</c:f>
              <c:numCache>
                <c:formatCode>#\ ##0.0</c:formatCode>
                <c:ptCount val="7"/>
                <c:pt idx="0">
                  <c:v>-7.9881289855326498E-2</c:v>
                </c:pt>
                <c:pt idx="1">
                  <c:v>0.13780194411928437</c:v>
                </c:pt>
                <c:pt idx="2">
                  <c:v>1.0149049376277819</c:v>
                </c:pt>
                <c:pt idx="3" formatCode="0.00">
                  <c:v>-7.0122358552588304E-2</c:v>
                </c:pt>
                <c:pt idx="4" formatCode="0.00">
                  <c:v>0.11110404176827737</c:v>
                </c:pt>
                <c:pt idx="5">
                  <c:v>-7.3202602027254704E-3</c:v>
                </c:pt>
                <c:pt idx="6">
                  <c:v>0.15316821189746743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88-455B-AD8C-2F1242668284}"/>
            </c:ext>
            <c:ext xmlns:c15="http://schemas.microsoft.com/office/drawing/2012/chart" uri="{02D57815-91ED-43cb-92C2-25804820EDAC}">
              <c15:datalabelsRange>
                <c15:f>'BOX 3 _ graf 13 + 14 _ Tab5'!$S$6:$Y$6</c15:f>
                <c15:dlblRangeCache>
                  <c:ptCount val="7"/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092896"/>
        <c:axId val="922093288"/>
      </c:scatterChart>
      <c:valAx>
        <c:axId val="922092896"/>
        <c:scaling>
          <c:orientation val="minMax"/>
          <c:max val="2"/>
          <c:min val="-2"/>
        </c:scaling>
        <c:delete val="0"/>
        <c:axPos val="b"/>
        <c:numFmt formatCode="0.0" sourceLinked="1"/>
        <c:majorTickMark val="out"/>
        <c:minorTickMark val="none"/>
        <c:tickLblPos val="low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22093288"/>
        <c:crossesAt val="0"/>
        <c:crossBetween val="midCat"/>
      </c:valAx>
      <c:valAx>
        <c:axId val="922093288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sk-SK"/>
          </a:p>
        </c:txPr>
        <c:crossAx val="9220928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20290869820621E-2"/>
          <c:y val="7.180039831151154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solidFill>
                <a:schemeClr val="accent1"/>
              </a:solidFill>
              <a:prstDash val="solid"/>
            </a:ln>
            <a:effectLst>
              <a:glow>
                <a:schemeClr val="accent1"/>
              </a:glow>
            </a:effectLst>
          </c:spPr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Lbls>
            <c:dLbl>
              <c:idx val="0"/>
              <c:layout>
                <c:manualLayout>
                  <c:x val="-1.5071590052750657E-2"/>
                  <c:y val="6.3091482649842406E-2"/>
                </c:manualLayout>
              </c:layout>
              <c:tx>
                <c:rich>
                  <a:bodyPr/>
                  <a:lstStyle/>
                  <a:p>
                    <a:fld id="{A8714D0F-2DAD-4538-A3E4-DF24AAACDE8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9.7965335342878768E-2"/>
                  <c:y val="-4.9071153172099542E-2"/>
                </c:manualLayout>
              </c:layout>
              <c:tx>
                <c:rich>
                  <a:bodyPr/>
                  <a:lstStyle/>
                  <a:p>
                    <a:fld id="{FB954DA9-1071-4E9C-8BA3-D227C20527F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2.2607385079125849E-2"/>
                  <c:y val="-6.6596565019277978E-2"/>
                </c:manualLayout>
              </c:layout>
              <c:tx>
                <c:rich>
                  <a:bodyPr/>
                  <a:lstStyle/>
                  <a:p>
                    <a:fld id="{2C329362-516C-4D9F-9D3B-EAA7E0687DD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2.2607385079125939E-2"/>
                  <c:y val="8.0616894497020683E-2"/>
                </c:manualLayout>
              </c:layout>
              <c:tx>
                <c:rich>
                  <a:bodyPr/>
                  <a:lstStyle/>
                  <a:p>
                    <a:fld id="{B0EE961C-5E8C-4316-AF22-0893112BD8F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9.2103097450634457E-17"/>
                  <c:y val="-5.6081317910970971E-2"/>
                </c:manualLayout>
              </c:layout>
              <c:tx>
                <c:rich>
                  <a:bodyPr/>
                  <a:lstStyle/>
                  <a:p>
                    <a:fld id="{65F54B31-2FCB-4311-81DE-F592E5590E9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2.2607385079125849E-2"/>
                  <c:y val="5.9586400280406591E-2"/>
                </c:manualLayout>
              </c:layout>
              <c:tx>
                <c:rich>
                  <a:bodyPr/>
                  <a:lstStyle/>
                  <a:p>
                    <a:fld id="{C5A4A552-7662-4BD9-BB7C-CFED0A76CD9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9.545340366742025E-2"/>
                  <c:y val="-3.5050823694356817E-2"/>
                </c:manualLayout>
              </c:layout>
              <c:tx>
                <c:rich>
                  <a:bodyPr/>
                  <a:lstStyle/>
                  <a:p>
                    <a:fld id="{DCF2AFAA-AA8B-4A20-BE1D-1ED50CA6BA3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5A7-48A7-A8CA-F6B1B263C70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'BOX 3 _ graf 13 + 14 _ Tab5'!$S$12:$Y$12</c:f>
              <c:numCache>
                <c:formatCode>0.0</c:formatCode>
                <c:ptCount val="7"/>
                <c:pt idx="0">
                  <c:v>0.86438627342873642</c:v>
                </c:pt>
                <c:pt idx="1">
                  <c:v>0.36735364092425304</c:v>
                </c:pt>
                <c:pt idx="2">
                  <c:v>0.34055282363856398</c:v>
                </c:pt>
                <c:pt idx="3" formatCode="0.00">
                  <c:v>0.41432945673913801</c:v>
                </c:pt>
                <c:pt idx="4" formatCode="0.00">
                  <c:v>0.65385019815072831</c:v>
                </c:pt>
                <c:pt idx="5">
                  <c:v>7.4273017909797678E-2</c:v>
                </c:pt>
                <c:pt idx="6">
                  <c:v>-4.6408091555298014E-2</c:v>
                </c:pt>
              </c:numCache>
            </c:numRef>
          </c:xVal>
          <c:yVal>
            <c:numRef>
              <c:f>'BOX 3 _ graf 13 + 14 _ Tab5'!$S$10:$Y$10</c:f>
              <c:numCache>
                <c:formatCode>#\ ##0.0</c:formatCode>
                <c:ptCount val="7"/>
                <c:pt idx="0">
                  <c:v>-7.9881289855326498E-2</c:v>
                </c:pt>
                <c:pt idx="1">
                  <c:v>0.13780194411928437</c:v>
                </c:pt>
                <c:pt idx="2">
                  <c:v>1.0149049376277819</c:v>
                </c:pt>
                <c:pt idx="3" formatCode="0.00">
                  <c:v>-7.0122358552588304E-2</c:v>
                </c:pt>
                <c:pt idx="4" formatCode="0.00">
                  <c:v>0.11110404176827737</c:v>
                </c:pt>
                <c:pt idx="5">
                  <c:v>-7.3202602027254704E-3</c:v>
                </c:pt>
                <c:pt idx="6">
                  <c:v>0.15316821189746743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75A7-48A7-A8CA-F6B1B263C709}"/>
            </c:ext>
            <c:ext xmlns:c15="http://schemas.microsoft.com/office/drawing/2012/chart" uri="{02D57815-91ED-43cb-92C2-25804820EDAC}">
              <c15:datalabelsRange>
                <c15:f>'BOX 3 _ graf 13 + 14 _ Tab5'!$S$6:$Y$6</c15:f>
                <c15:dlblRangeCache>
                  <c:ptCount val="7"/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41544"/>
        <c:axId val="932541936"/>
      </c:scatterChart>
      <c:valAx>
        <c:axId val="932541544"/>
        <c:scaling>
          <c:orientation val="minMax"/>
          <c:max val="2"/>
          <c:min val="-2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2541936"/>
        <c:crossesAt val="0"/>
        <c:crossBetween val="midCat"/>
      </c:valAx>
      <c:valAx>
        <c:axId val="932541936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sk-SK"/>
          </a:p>
        </c:txPr>
        <c:crossAx val="932541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3704286964129"/>
          <c:y val="6.6066066066066104E-2"/>
          <c:w val="0.81197472538155002"/>
          <c:h val="0.64626894611146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15 + 16'!$N$6</c:f>
              <c:strCache>
                <c:ptCount val="1"/>
                <c:pt idx="0">
                  <c:v>Program Stability 2018-2021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+ 16'!$P$6:$U$6</c15:sqref>
                  </c15:fullRef>
                </c:ext>
              </c:extLst>
              <c:f>'Graf 15 + 16'!$Q$6:$U$6</c:f>
              <c:numCache>
                <c:formatCode>0.0</c:formatCode>
                <c:ptCount val="5"/>
                <c:pt idx="0">
                  <c:v>-1.0769884619963133</c:v>
                </c:pt>
                <c:pt idx="1">
                  <c:v>-1.0219281882893039</c:v>
                </c:pt>
                <c:pt idx="2">
                  <c:v>-0.7476754017966265</c:v>
                </c:pt>
                <c:pt idx="3">
                  <c:v>-0.42765578470995369</c:v>
                </c:pt>
                <c:pt idx="4">
                  <c:v>-0.31261420543608148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64-4781-B73A-1F795DD39E0B}"/>
            </c:ext>
          </c:extLst>
        </c:ser>
        <c:ser>
          <c:idx val="1"/>
          <c:order val="1"/>
          <c:tx>
            <c:strRef>
              <c:f>'Graf 15 + 16'!$N$7</c:f>
              <c:strCache>
                <c:ptCount val="1"/>
                <c:pt idx="0">
                  <c:v>Návrh rozpočtového plánu na rok 2019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+ 16'!$P$7:$U$7</c15:sqref>
                  </c15:fullRef>
                </c:ext>
              </c:extLst>
              <c:f>'Graf 15 + 16'!$Q$7:$U$7</c:f>
              <c:numCache>
                <c:formatCode>0.0</c:formatCode>
                <c:ptCount val="5"/>
                <c:pt idx="0">
                  <c:v>-0.83153846998002012</c:v>
                </c:pt>
                <c:pt idx="1">
                  <c:v>-0.81748292666450073</c:v>
                </c:pt>
                <c:pt idx="2">
                  <c:v>-0.57470191992028918</c:v>
                </c:pt>
                <c:pt idx="3">
                  <c:v>-0.50392028055833749</c:v>
                </c:pt>
                <c:pt idx="4">
                  <c:v>-0.285663740111401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64-4781-B73A-1F795DD39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542720"/>
        <c:axId val="932688624"/>
      </c:barChart>
      <c:catAx>
        <c:axId val="93254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688624"/>
        <c:crosses val="autoZero"/>
        <c:auto val="1"/>
        <c:lblAlgn val="ctr"/>
        <c:lblOffset val="100"/>
        <c:noMultiLvlLbl val="0"/>
      </c:catAx>
      <c:valAx>
        <c:axId val="9326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54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5574900963467"/>
          <c:y val="0.82777019539224261"/>
          <c:w val="0.73432915330028203"/>
          <c:h val="0.172229552387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3708541418402E-2"/>
          <c:y val="0.2105723273864003"/>
          <c:w val="0.89153653846153846"/>
          <c:h val="0.6919454448038957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'Graf 1 + 2'!$F$10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670313639679067E-2"/>
                  <c:y val="9.52988969433339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B3-4B92-8B90-2074EA58F69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 + 2'!$G$9:$L$9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+ 2'!$G$10:$L$10</c:f>
              <c:numCache>
                <c:formatCode>0.0</c:formatCode>
                <c:ptCount val="6"/>
                <c:pt idx="0">
                  <c:v>-2.1009864074983864</c:v>
                </c:pt>
                <c:pt idx="1">
                  <c:v>-0.83153846998002012</c:v>
                </c:pt>
                <c:pt idx="2">
                  <c:v>-0.81748292666450073</c:v>
                </c:pt>
                <c:pt idx="3">
                  <c:v>-0.57470191992028918</c:v>
                </c:pt>
                <c:pt idx="4">
                  <c:v>-0.50392028055833749</c:v>
                </c:pt>
                <c:pt idx="5">
                  <c:v>-0.285663740111401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B3-4B92-8B90-2074EA58F692}"/>
            </c:ext>
          </c:extLst>
        </c:ser>
        <c:ser>
          <c:idx val="0"/>
          <c:order val="2"/>
          <c:tx>
            <c:strRef>
              <c:f>'Graf 1 + 2'!$F$11</c:f>
              <c:strCache>
                <c:ptCount val="1"/>
                <c:pt idx="0">
                  <c:v>Headline balance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1.4587892049598834E-2"/>
                  <c:y val="5.1981817005994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4587892049598726E-2"/>
                  <c:y val="9.356727061079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598832968636035E-2"/>
                  <c:y val="2.079272680239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EB3-4B92-8B90-2074EA58F69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 + 2'!$G$9:$L$9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+ 2'!$G$11:$L$11</c:f>
              <c:numCache>
                <c:formatCode>0.00</c:formatCode>
                <c:ptCount val="6"/>
                <c:pt idx="0">
                  <c:v>-2.2218395317473987</c:v>
                </c:pt>
                <c:pt idx="1">
                  <c:v>-0.7770491556751673</c:v>
                </c:pt>
                <c:pt idx="2">
                  <c:v>-0.6</c:v>
                </c:pt>
                <c:pt idx="3">
                  <c:v>-0.1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EB3-4B92-8B90-2074EA58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831944"/>
        <c:axId val="932935632"/>
      </c:barChart>
      <c:lineChart>
        <c:grouping val="standard"/>
        <c:varyColors val="0"/>
        <c:ser>
          <c:idx val="4"/>
          <c:order val="0"/>
          <c:tx>
            <c:strRef>
              <c:f>'Graf 1 + 2'!$F$12</c:f>
              <c:strCache>
                <c:ptCount val="1"/>
                <c:pt idx="0">
                  <c:v>Consolidation effort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EB3-4B92-8B90-2074EA58F692}"/>
              </c:ext>
            </c:extLst>
          </c:dPt>
          <c:dLbls>
            <c:dLbl>
              <c:idx val="3"/>
              <c:layout>
                <c:manualLayout>
                  <c:x val="-4.6727523132404268E-2"/>
                  <c:y val="-6.8681958233481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7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896479293199784E-2"/>
                  <c:y val="-6.497765298717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8-0EB3-4B92-8B90-2074EA58F69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997260462792368E-2"/>
                  <c:y val="-7.44147099109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9-0EB3-4B92-8B90-2074EA58F692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5875" cmpd="sng">
                <a:solidFill>
                  <a:schemeClr val="tx1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+ 2'!$G$9:$L$9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+ 2'!$G$12:$L$12</c:f>
              <c:numCache>
                <c:formatCode>0.0</c:formatCode>
                <c:ptCount val="6"/>
                <c:pt idx="0">
                  <c:v>0.2362822651505998</c:v>
                </c:pt>
                <c:pt idx="1">
                  <c:v>1.2694479375183663</c:v>
                </c:pt>
                <c:pt idx="2">
                  <c:v>1.4055543315519392E-2</c:v>
                </c:pt>
                <c:pt idx="3">
                  <c:v>0.24278100674421155</c:v>
                </c:pt>
                <c:pt idx="4">
                  <c:v>7.0781639361951698E-2</c:v>
                </c:pt>
                <c:pt idx="5">
                  <c:v>0.21825654044693649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A-0EB3-4B92-8B90-2074EA58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31944"/>
        <c:axId val="932935632"/>
        <c:extLst xmlns:c16r2="http://schemas.microsoft.com/office/drawing/2015/06/chart"/>
      </c:lineChart>
      <c:catAx>
        <c:axId val="91383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sk-SK"/>
          </a:p>
        </c:txPr>
        <c:crossAx val="932935632"/>
        <c:crosses val="autoZero"/>
        <c:auto val="1"/>
        <c:lblAlgn val="ctr"/>
        <c:lblOffset val="100"/>
        <c:noMultiLvlLbl val="0"/>
      </c:catAx>
      <c:valAx>
        <c:axId val="932935632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91383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5767820990539"/>
          <c:y val="5.7696663886006493E-2"/>
          <c:w val="0.77830706762233592"/>
          <c:h val="0.128228156399122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072448060975"/>
          <c:y val="6.4046579330422099E-2"/>
          <c:w val="0.83004094843824905"/>
          <c:h val="0.58847436646838402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'Graf 15 + 16'!$N$9</c:f>
              <c:strCache>
                <c:ptCount val="1"/>
                <c:pt idx="0">
                  <c:v>Zmena cyklickej zložky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+ 16'!$P$9:$U$9</c15:sqref>
                  </c15:fullRef>
                </c:ext>
              </c:extLst>
              <c:f>'Graf 15 + 16'!$Q$9:$U$9</c:f>
              <c:numCache>
                <c:formatCode>0.0</c:formatCode>
                <c:ptCount val="5"/>
                <c:pt idx="0">
                  <c:v>-1.8228041581701292E-2</c:v>
                </c:pt>
                <c:pt idx="1">
                  <c:v>5.3431358245137894E-3</c:v>
                </c:pt>
                <c:pt idx="2">
                  <c:v>-4.2203203514993626E-2</c:v>
                </c:pt>
                <c:pt idx="3">
                  <c:v>-7.6264495848383795E-2</c:v>
                </c:pt>
                <c:pt idx="4">
                  <c:v>-0.17304953467531953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C8-45F5-9676-E808AA552E71}"/>
            </c:ext>
          </c:extLst>
        </c:ser>
        <c:ser>
          <c:idx val="4"/>
          <c:order val="4"/>
          <c:tx>
            <c:strRef>
              <c:f>'Graf 15 + 16'!$N$10</c:f>
              <c:strCache>
                <c:ptCount val="1"/>
                <c:pt idx="0">
                  <c:v>Zmena nominálneho salda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+ 16'!$P$10:$U$10</c15:sqref>
                  </c15:fullRef>
                </c:ext>
              </c:extLst>
              <c:f>'Graf 15 + 16'!$Q$10:$U$10</c:f>
              <c:numCache>
                <c:formatCode>0.0</c:formatCode>
                <c:ptCount val="5"/>
                <c:pt idx="0">
                  <c:v>0.26367803359799447</c:v>
                </c:pt>
                <c:pt idx="1">
                  <c:v>0.19910212580028941</c:v>
                </c:pt>
                <c:pt idx="2">
                  <c:v>0.21517668539133092</c:v>
                </c:pt>
                <c:pt idx="3">
                  <c:v>0</c:v>
                </c:pt>
                <c:pt idx="4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C8-45F5-9676-E808AA552E71}"/>
            </c:ext>
          </c:extLst>
        </c:ser>
        <c:ser>
          <c:idx val="5"/>
          <c:order val="5"/>
          <c:tx>
            <c:strRef>
              <c:f>'Graf 15 + 16'!$N$11</c:f>
              <c:strCache>
                <c:ptCount val="1"/>
                <c:pt idx="0">
                  <c:v>Zmena jednorazových opatrení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+ 16'!$P$11:$U$11</c15:sqref>
                  </c15:fullRef>
                </c:ext>
              </c:extLst>
              <c:f>'Graf 15 + 16'!$Q$11:$U$11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4C8-45F5-9676-E808AA55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689408"/>
        <c:axId val="9326898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15 + 16'!$N$7</c15:sqref>
                        </c15:formulaRef>
                      </c:ext>
                    </c:extLst>
                    <c:strCache>
                      <c:ptCount val="1"/>
                      <c:pt idx="0">
                        <c:v>Návrh rozpočtového plánu na rok 2019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15 + 16'!$P$5:$U$5</c15:sqref>
                        </c15:fullRef>
                        <c15:formulaRef>
                          <c15:sqref>'Graf 15 + 16'!$Q$5:$U$5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15 + 16'!$P$7:$T$7</c15:sqref>
                        </c15:fullRef>
                        <c15:formulaRef>
                          <c15:sqref>'Graf 15 + 16'!$Q$7:$T$7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-0.83153846998002012</c:v>
                      </c:pt>
                      <c:pt idx="1">
                        <c:v>-0.81748292666450073</c:v>
                      </c:pt>
                      <c:pt idx="2">
                        <c:v>-0.57470191992028918</c:v>
                      </c:pt>
                      <c:pt idx="3">
                        <c:v>-0.50392028055833749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44C8-45F5-9676-E808AA552E71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15 + 16'!$N$6</c15:sqref>
                        </c15:formulaRef>
                      </c:ext>
                    </c:extLst>
                    <c:strCache>
                      <c:ptCount val="1"/>
                      <c:pt idx="0">
                        <c:v>Program Stability 2018-2021</c:v>
                      </c:pt>
                    </c:strCache>
                  </c:strRef>
                </c:tx>
                <c:spPr>
                  <a:solidFill>
                    <a:srgbClr val="2C9AD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15 + 16'!$P$5:$U$5</c15:sqref>
                        </c15:fullRef>
                        <c15:formulaRef>
                          <c15:sqref>'Graf 15 + 16'!$Q$5:$U$5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15 + 16'!$P$6:$T$6</c15:sqref>
                        </c15:fullRef>
                        <c15:formulaRef>
                          <c15:sqref>'Graf 15 + 16'!$Q$6:$T$6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-1.0769884619963133</c:v>
                      </c:pt>
                      <c:pt idx="1">
                        <c:v>-1.0219281882893039</c:v>
                      </c:pt>
                      <c:pt idx="2">
                        <c:v>-0.7476754017966265</c:v>
                      </c:pt>
                      <c:pt idx="3">
                        <c:v>-0.42765578470995369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44C8-45F5-9676-E808AA552E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'Graf 15 + 16'!$N$8</c:f>
              <c:strCache>
                <c:ptCount val="1"/>
                <c:pt idx="0">
                  <c:v>Revízia štrukturálneho salda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+ 16'!$P$8:$U$8</c15:sqref>
                  </c15:fullRef>
                </c:ext>
              </c:extLst>
              <c:f>'Graf 15 + 16'!$Q$8:$U$8</c:f>
              <c:numCache>
                <c:formatCode>0.0</c:formatCode>
                <c:ptCount val="5"/>
                <c:pt idx="0">
                  <c:v>0.24544999201629314</c:v>
                </c:pt>
                <c:pt idx="1">
                  <c:v>0.20444526162480314</c:v>
                </c:pt>
                <c:pt idx="2">
                  <c:v>0.17297348187633732</c:v>
                </c:pt>
                <c:pt idx="3">
                  <c:v>-7.6264495848383795E-2</c:v>
                </c:pt>
                <c:pt idx="4">
                  <c:v>2.6950465324680484E-2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4C8-45F5-9676-E808AA55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689408"/>
        <c:axId val="932689800"/>
      </c:lineChart>
      <c:catAx>
        <c:axId val="9326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689800"/>
        <c:crosses val="autoZero"/>
        <c:auto val="1"/>
        <c:lblAlgn val="ctr"/>
        <c:lblOffset val="100"/>
        <c:noMultiLvlLbl val="0"/>
      </c:catAx>
      <c:valAx>
        <c:axId val="9326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68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451000606709697E-2"/>
          <c:y val="0.75349173056424701"/>
          <c:w val="0.95954908316526721"/>
          <c:h val="0.24650834870930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3704286964129"/>
          <c:y val="6.6066066066066104E-2"/>
          <c:w val="0.81197472538155002"/>
          <c:h val="0.64626894611146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15 + 16'!$O$6</c:f>
              <c:strCache>
                <c:ptCount val="1"/>
                <c:pt idx="0">
                  <c:v>Stability Programme 2018-2021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+ 16'!$P$6:$U$6</c15:sqref>
                  </c15:fullRef>
                </c:ext>
              </c:extLst>
              <c:f>'Graf 15 + 16'!$Q$6:$U$6</c:f>
              <c:numCache>
                <c:formatCode>0.0</c:formatCode>
                <c:ptCount val="5"/>
                <c:pt idx="0">
                  <c:v>-1.0769884619963133</c:v>
                </c:pt>
                <c:pt idx="1">
                  <c:v>-1.0219281882893039</c:v>
                </c:pt>
                <c:pt idx="2">
                  <c:v>-0.7476754017966265</c:v>
                </c:pt>
                <c:pt idx="3">
                  <c:v>-0.42765578470995369</c:v>
                </c:pt>
                <c:pt idx="4">
                  <c:v>-0.31261420543608148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64-4781-B73A-1F795DD39E0B}"/>
            </c:ext>
          </c:extLst>
        </c:ser>
        <c:ser>
          <c:idx val="1"/>
          <c:order val="1"/>
          <c:tx>
            <c:strRef>
              <c:f>'Graf 15 + 16'!$O$7</c:f>
              <c:strCache>
                <c:ptCount val="1"/>
                <c:pt idx="0">
                  <c:v>Draft Budget 2019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+ 16'!$P$7:$U$7</c15:sqref>
                  </c15:fullRef>
                </c:ext>
              </c:extLst>
              <c:f>'Graf 15 + 16'!$Q$7:$U$7</c:f>
              <c:numCache>
                <c:formatCode>0.0</c:formatCode>
                <c:ptCount val="5"/>
                <c:pt idx="0">
                  <c:v>-0.83153846998002012</c:v>
                </c:pt>
                <c:pt idx="1">
                  <c:v>-0.81748292666450073</c:v>
                </c:pt>
                <c:pt idx="2">
                  <c:v>-0.57470191992028918</c:v>
                </c:pt>
                <c:pt idx="3">
                  <c:v>-0.50392028055833749</c:v>
                </c:pt>
                <c:pt idx="4">
                  <c:v>-0.285663740111401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64-4781-B73A-1F795DD39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64424"/>
        <c:axId val="933264816"/>
      </c:barChart>
      <c:catAx>
        <c:axId val="9332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4816"/>
        <c:crosses val="autoZero"/>
        <c:auto val="1"/>
        <c:lblAlgn val="ctr"/>
        <c:lblOffset val="100"/>
        <c:noMultiLvlLbl val="0"/>
      </c:catAx>
      <c:valAx>
        <c:axId val="9332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5574900963467"/>
          <c:y val="0.82777019539224261"/>
          <c:w val="0.73432915330028203"/>
          <c:h val="0.172229552387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072448060975"/>
          <c:y val="6.4046579330422099E-2"/>
          <c:w val="0.83004094843824905"/>
          <c:h val="0.6429704717152166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'Graf 15 + 16'!$O$9</c:f>
              <c:strCache>
                <c:ptCount val="1"/>
                <c:pt idx="0">
                  <c:v>Cyclical component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+ 16'!$P$9:$U$9</c15:sqref>
                  </c15:fullRef>
                </c:ext>
              </c:extLst>
              <c:f>'Graf 15 + 16'!$Q$9:$U$9</c:f>
              <c:numCache>
                <c:formatCode>0.0</c:formatCode>
                <c:ptCount val="5"/>
                <c:pt idx="0">
                  <c:v>-1.8228041581701292E-2</c:v>
                </c:pt>
                <c:pt idx="1">
                  <c:v>5.3431358245137894E-3</c:v>
                </c:pt>
                <c:pt idx="2">
                  <c:v>-4.2203203514993626E-2</c:v>
                </c:pt>
                <c:pt idx="3">
                  <c:v>-7.6264495848383795E-2</c:v>
                </c:pt>
                <c:pt idx="4">
                  <c:v>-0.17304953467531953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C8-45F5-9676-E808AA552E71}"/>
            </c:ext>
          </c:extLst>
        </c:ser>
        <c:ser>
          <c:idx val="4"/>
          <c:order val="4"/>
          <c:tx>
            <c:strRef>
              <c:f>'Graf 15 + 16'!$O$10</c:f>
              <c:strCache>
                <c:ptCount val="1"/>
                <c:pt idx="0">
                  <c:v>Change of nominal balance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+ 16'!$P$10:$U$10</c15:sqref>
                  </c15:fullRef>
                </c:ext>
              </c:extLst>
              <c:f>'Graf 15 + 16'!$Q$10:$U$10</c:f>
              <c:numCache>
                <c:formatCode>0.0</c:formatCode>
                <c:ptCount val="5"/>
                <c:pt idx="0">
                  <c:v>0.26367803359799447</c:v>
                </c:pt>
                <c:pt idx="1">
                  <c:v>0.19910212580028941</c:v>
                </c:pt>
                <c:pt idx="2">
                  <c:v>0.21517668539133092</c:v>
                </c:pt>
                <c:pt idx="3">
                  <c:v>0</c:v>
                </c:pt>
                <c:pt idx="4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C8-45F5-9676-E808AA552E71}"/>
            </c:ext>
          </c:extLst>
        </c:ser>
        <c:ser>
          <c:idx val="5"/>
          <c:order val="5"/>
          <c:tx>
            <c:strRef>
              <c:f>'Graf 15 + 16'!$O$11</c:f>
              <c:strCache>
                <c:ptCount val="1"/>
                <c:pt idx="0">
                  <c:v>One offs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+ 16'!$P$11:$U$11</c15:sqref>
                  </c15:fullRef>
                </c:ext>
              </c:extLst>
              <c:f>'Graf 15 + 16'!$Q$11:$U$11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4C8-45F5-9676-E808AA55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265600"/>
        <c:axId val="9332659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15 + 16'!$N$7</c15:sqref>
                        </c15:formulaRef>
                      </c:ext>
                    </c:extLst>
                    <c:strCache>
                      <c:ptCount val="1"/>
                      <c:pt idx="0">
                        <c:v>Návrh rozpočtového plánu na rok 2019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15 + 16'!$P$5:$U$5</c15:sqref>
                        </c15:fullRef>
                        <c15:formulaRef>
                          <c15:sqref>'Graf 15 + 16'!$Q$5:$U$5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15 + 16'!$P$7:$T$7</c15:sqref>
                        </c15:fullRef>
                        <c15:formulaRef>
                          <c15:sqref>'Graf 15 + 16'!$Q$7:$T$7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-0.83153846998002012</c:v>
                      </c:pt>
                      <c:pt idx="1">
                        <c:v>-0.81748292666450073</c:v>
                      </c:pt>
                      <c:pt idx="2">
                        <c:v>-0.57470191992028918</c:v>
                      </c:pt>
                      <c:pt idx="3">
                        <c:v>-0.50392028055833749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44C8-45F5-9676-E808AA552E71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15 + 16'!$N$6</c15:sqref>
                        </c15:formulaRef>
                      </c:ext>
                    </c:extLst>
                    <c:strCache>
                      <c:ptCount val="1"/>
                      <c:pt idx="0">
                        <c:v>Program Stability 2018-2021</c:v>
                      </c:pt>
                    </c:strCache>
                  </c:strRef>
                </c:tx>
                <c:spPr>
                  <a:solidFill>
                    <a:srgbClr val="2C9AD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15 + 16'!$P$5:$U$5</c15:sqref>
                        </c15:fullRef>
                        <c15:formulaRef>
                          <c15:sqref>'Graf 15 + 16'!$Q$5:$U$5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15 + 16'!$P$6:$T$6</c15:sqref>
                        </c15:fullRef>
                        <c15:formulaRef>
                          <c15:sqref>'Graf 15 + 16'!$Q$6:$T$6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-1.0769884619963133</c:v>
                      </c:pt>
                      <c:pt idx="1">
                        <c:v>-1.0219281882893039</c:v>
                      </c:pt>
                      <c:pt idx="2">
                        <c:v>-0.7476754017966265</c:v>
                      </c:pt>
                      <c:pt idx="3">
                        <c:v>-0.42765578470995369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44C8-45F5-9676-E808AA552E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'Graf 15 + 16'!$O$8</c:f>
              <c:strCache>
                <c:ptCount val="1"/>
                <c:pt idx="0">
                  <c:v>Structural balance revision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15 + 16'!$P$5:$U$5</c15:sqref>
                  </c15:fullRef>
                </c:ext>
              </c:extLst>
              <c:f>'Graf 15 + 16'!$Q$5:$U$5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15 + 16'!$P$8:$U$8</c15:sqref>
                  </c15:fullRef>
                </c:ext>
              </c:extLst>
              <c:f>'Graf 15 + 16'!$Q$8:$U$8</c:f>
              <c:numCache>
                <c:formatCode>0.0</c:formatCode>
                <c:ptCount val="5"/>
                <c:pt idx="0">
                  <c:v>0.24544999201629314</c:v>
                </c:pt>
                <c:pt idx="1">
                  <c:v>0.20444526162480314</c:v>
                </c:pt>
                <c:pt idx="2">
                  <c:v>0.17297348187633732</c:v>
                </c:pt>
                <c:pt idx="3">
                  <c:v>-7.6264495848383795E-2</c:v>
                </c:pt>
                <c:pt idx="4">
                  <c:v>2.6950465324680484E-2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4C8-45F5-9676-E808AA55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65600"/>
        <c:axId val="933265992"/>
      </c:lineChart>
      <c:catAx>
        <c:axId val="93326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5992"/>
        <c:crosses val="autoZero"/>
        <c:auto val="1"/>
        <c:lblAlgn val="ctr"/>
        <c:lblOffset val="100"/>
        <c:noMultiLvlLbl val="0"/>
      </c:catAx>
      <c:valAx>
        <c:axId val="93326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451000606709697E-2"/>
          <c:y val="0.82161164210475879"/>
          <c:w val="0.95954908316526721"/>
          <c:h val="0.1382862888734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Reálny rast agregátu výdavkov očisteného o príjmové opatrenia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6 + Graf 17 + 18'!$M$19:$R$19</c:f>
              <c:strCache>
                <c:ptCount val="6"/>
                <c:pt idx="0">
                  <c:v>2016 S</c:v>
                </c:pt>
                <c:pt idx="1">
                  <c:v>2017 S</c:v>
                </c:pt>
                <c:pt idx="2">
                  <c:v>2018***</c:v>
                </c:pt>
                <c:pt idx="3">
                  <c:v>2019 NRVS</c:v>
                </c:pt>
                <c:pt idx="4">
                  <c:v>2020 NRVS</c:v>
                </c:pt>
                <c:pt idx="5">
                  <c:v>2021 NRVS</c:v>
                </c:pt>
              </c:strCache>
            </c:strRef>
          </c:cat>
          <c:val>
            <c:numRef>
              <c:f>'Tab 6 + Graf 17 + 18'!$M$35:$R$35</c:f>
              <c:numCache>
                <c:formatCode>0.0</c:formatCode>
                <c:ptCount val="6"/>
                <c:pt idx="0">
                  <c:v>0.61001025816604937</c:v>
                </c:pt>
                <c:pt idx="1">
                  <c:v>0.21572871131285698</c:v>
                </c:pt>
                <c:pt idx="2">
                  <c:v>3.6296338960153385</c:v>
                </c:pt>
                <c:pt idx="3">
                  <c:v>2.2874587007112535</c:v>
                </c:pt>
                <c:pt idx="4">
                  <c:v>1.8945464615648611</c:v>
                </c:pt>
                <c:pt idx="5">
                  <c:v>0.27605637191421284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v>Výdavkové pravidlo (znížená referenčná miera pot. rastu HDP)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89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6 + Graf 17 + 18'!$M$19:$R$19</c:f>
              <c:strCache>
                <c:ptCount val="6"/>
                <c:pt idx="0">
                  <c:v>2016 S</c:v>
                </c:pt>
                <c:pt idx="1">
                  <c:v>2017 S</c:v>
                </c:pt>
                <c:pt idx="2">
                  <c:v>2018***</c:v>
                </c:pt>
                <c:pt idx="3">
                  <c:v>2019 NRVS</c:v>
                </c:pt>
                <c:pt idx="4">
                  <c:v>2020 NRVS</c:v>
                </c:pt>
                <c:pt idx="5">
                  <c:v>2021 NRVS</c:v>
                </c:pt>
              </c:strCache>
            </c:strRef>
          </c:cat>
          <c:val>
            <c:numRef>
              <c:f>'Tab 6 + Graf 17 + 18'!$M$36:$R$36</c:f>
              <c:numCache>
                <c:formatCode>0.0</c:formatCode>
                <c:ptCount val="6"/>
                <c:pt idx="0">
                  <c:v>2.0834922277143519</c:v>
                </c:pt>
                <c:pt idx="1">
                  <c:v>1.3480051001340336</c:v>
                </c:pt>
                <c:pt idx="2">
                  <c:v>1.3398076150772882</c:v>
                </c:pt>
                <c:pt idx="3">
                  <c:v>2.2601080060476564</c:v>
                </c:pt>
                <c:pt idx="4">
                  <c:v>2.9907486484827657</c:v>
                </c:pt>
                <c:pt idx="5">
                  <c:v>3.1974580377560886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266776"/>
        <c:axId val="933267168"/>
      </c:lineChart>
      <c:catAx>
        <c:axId val="93326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7168"/>
        <c:crosses val="autoZero"/>
        <c:auto val="1"/>
        <c:lblAlgn val="ctr"/>
        <c:lblOffset val="100"/>
        <c:noMultiLvlLbl val="0"/>
      </c:catAx>
      <c:valAx>
        <c:axId val="9332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6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8455735485998E-3"/>
          <c:y val="0.88814278944236236"/>
          <c:w val="0.9819313623532907"/>
          <c:h val="8.3131758350198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 6 + Graf 17 + 18'!$J$48</c:f>
              <c:strCache>
                <c:ptCount val="1"/>
                <c:pt idx="0">
                  <c:v>Strednodobý potencial rastu HDP (EK metodika, 10r priemer)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'Tab 6 + Graf 17 + 18'!$L$47:$R$47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'Tab 6 + Graf 17 + 18'!$L$48:$R$48</c:f>
              <c:numCache>
                <c:formatCode>0.0</c:formatCode>
                <c:ptCount val="7"/>
                <c:pt idx="0">
                  <c:v>2.9279065204139698</c:v>
                </c:pt>
                <c:pt idx="1">
                  <c:v>2.7952861707213543</c:v>
                </c:pt>
                <c:pt idx="2">
                  <c:v>2.6049092470555451</c:v>
                </c:pt>
                <c:pt idx="3">
                  <c:v>2.5851214899376629</c:v>
                </c:pt>
                <c:pt idx="4">
                  <c:v>2.8951680495910921</c:v>
                </c:pt>
                <c:pt idx="5">
                  <c:v>3.1738527703586437</c:v>
                </c:pt>
                <c:pt idx="6">
                  <c:v>3.1974580377560886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25-4877-84F7-8382A91CFDE4}"/>
            </c:ext>
          </c:extLst>
        </c:ser>
        <c:ser>
          <c:idx val="1"/>
          <c:order val="1"/>
          <c:tx>
            <c:strRef>
              <c:f>'Tab 6 + Graf 17 + 18'!$J$49</c:f>
              <c:strCache>
                <c:ptCount val="1"/>
                <c:pt idx="0">
                  <c:v>Reálny rast daňovo-odvodových príjmov (y-o-y)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 6 + Graf 17 + 18'!$L$47:$R$47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'Tab 6 + Graf 17 + 18'!$L$49:$R$49</c:f>
              <c:numCache>
                <c:formatCode>0.0</c:formatCode>
                <c:ptCount val="7"/>
                <c:pt idx="0">
                  <c:v>6.4201509481086383</c:v>
                </c:pt>
                <c:pt idx="1">
                  <c:v>3.5750723372377169</c:v>
                </c:pt>
                <c:pt idx="2">
                  <c:v>5.1479863841398465</c:v>
                </c:pt>
                <c:pt idx="3">
                  <c:v>5.8740525600777591</c:v>
                </c:pt>
                <c:pt idx="4">
                  <c:v>2.9922930736531628</c:v>
                </c:pt>
                <c:pt idx="5">
                  <c:v>3.1874380271625702</c:v>
                </c:pt>
                <c:pt idx="6">
                  <c:v>2.5041296401639768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25-4877-84F7-8382A91C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267952"/>
        <c:axId val="932336344"/>
      </c:lineChart>
      <c:catAx>
        <c:axId val="93326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336344"/>
        <c:crosses val="autoZero"/>
        <c:auto val="1"/>
        <c:lblAlgn val="ctr"/>
        <c:lblOffset val="100"/>
        <c:noMultiLvlLbl val="0"/>
      </c:catAx>
      <c:valAx>
        <c:axId val="9323363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326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4340731831258E-2"/>
          <c:y val="4.5295449866172531E-2"/>
          <c:w val="0.91564220547031971"/>
          <c:h val="0.71218356815960082"/>
        </c:manualLayout>
      </c:layout>
      <c:lineChart>
        <c:grouping val="standard"/>
        <c:varyColors val="0"/>
        <c:ser>
          <c:idx val="0"/>
          <c:order val="0"/>
          <c:tx>
            <c:v>Medium term potential growth of GDP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7365304914150381E-3"/>
                  <c:y val="4.5295449866172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841326228537596E-2"/>
                  <c:y val="4.1177681696520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2.4706609017912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2.4706609017912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6835389212782897E-17"/>
                  <c:y val="5.7648754375128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209591474245116E-2"/>
                  <c:y val="4.1177681696520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68265245707519E-3"/>
                  <c:y val="3.294214535721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 + Graf 17 + 18'!$L$47:$R$47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'Tab 6 + Graf 17 + 18'!$L$48:$R$48</c:f>
              <c:numCache>
                <c:formatCode>0.0</c:formatCode>
                <c:ptCount val="7"/>
                <c:pt idx="0">
                  <c:v>2.9279065204139698</c:v>
                </c:pt>
                <c:pt idx="1">
                  <c:v>2.7952861707213543</c:v>
                </c:pt>
                <c:pt idx="2">
                  <c:v>2.6049092470555451</c:v>
                </c:pt>
                <c:pt idx="3">
                  <c:v>2.5851214899376629</c:v>
                </c:pt>
                <c:pt idx="4">
                  <c:v>2.8951680495910921</c:v>
                </c:pt>
                <c:pt idx="5">
                  <c:v>3.1738527703586437</c:v>
                </c:pt>
                <c:pt idx="6">
                  <c:v>3.1974580377560886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25-4877-84F7-8382A91CFDE4}"/>
            </c:ext>
          </c:extLst>
        </c:ser>
        <c:ser>
          <c:idx val="1"/>
          <c:order val="1"/>
          <c:tx>
            <c:strRef>
              <c:f>'Tab 6 + Graf 17 + 18'!$K$49</c:f>
              <c:strCache>
                <c:ptCount val="1"/>
                <c:pt idx="0">
                  <c:v>Tax and Social/Health contribution revenues (y-o-y % change)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3682652457076062E-3"/>
                  <c:y val="-2.8824377187564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68265245707519E-3"/>
                  <c:y val="-3.705991352686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solidFill>
                  <a:schemeClr val="tx1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 + Graf 17 + 18'!$L$47:$R$47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'Tab 6 + Graf 17 + 18'!$L$49:$R$49</c:f>
              <c:numCache>
                <c:formatCode>0.0</c:formatCode>
                <c:ptCount val="7"/>
                <c:pt idx="0">
                  <c:v>6.4201509481086383</c:v>
                </c:pt>
                <c:pt idx="1">
                  <c:v>3.5750723372377169</c:v>
                </c:pt>
                <c:pt idx="2">
                  <c:v>5.1479863841398465</c:v>
                </c:pt>
                <c:pt idx="3">
                  <c:v>5.8740525600777591</c:v>
                </c:pt>
                <c:pt idx="4">
                  <c:v>2.9922930736531628</c:v>
                </c:pt>
                <c:pt idx="5">
                  <c:v>3.1874380271625702</c:v>
                </c:pt>
                <c:pt idx="6">
                  <c:v>2.5041296401639768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25-4877-84F7-8382A91C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337128"/>
        <c:axId val="932337520"/>
      </c:lineChart>
      <c:catAx>
        <c:axId val="93233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337520"/>
        <c:crosses val="autoZero"/>
        <c:auto val="1"/>
        <c:lblAlgn val="ctr"/>
        <c:lblOffset val="100"/>
        <c:noMultiLvlLbl val="0"/>
      </c:catAx>
      <c:valAx>
        <c:axId val="9323375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33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Change in expenditure aggregate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 6 + Graf 17 + 18'!$M$47:$R$47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'Tab 6 + Graf 17 + 18'!$M$35:$R$35</c:f>
              <c:numCache>
                <c:formatCode>0.0</c:formatCode>
                <c:ptCount val="6"/>
                <c:pt idx="0">
                  <c:v>0.61001025816604937</c:v>
                </c:pt>
                <c:pt idx="1">
                  <c:v>0.21572871131285698</c:v>
                </c:pt>
                <c:pt idx="2">
                  <c:v>3.6296338960153385</c:v>
                </c:pt>
                <c:pt idx="3">
                  <c:v>2.2874587007112535</c:v>
                </c:pt>
                <c:pt idx="4">
                  <c:v>1.8945464615648611</c:v>
                </c:pt>
                <c:pt idx="5">
                  <c:v>0.27605637191421284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v>Expenditure benchmark</c:v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89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 6 + Graf 17 + 18'!$M$47:$R$47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'Tab 6 + Graf 17 + 18'!$M$36:$R$36</c:f>
              <c:numCache>
                <c:formatCode>0.0</c:formatCode>
                <c:ptCount val="6"/>
                <c:pt idx="0">
                  <c:v>2.0834922277143519</c:v>
                </c:pt>
                <c:pt idx="1">
                  <c:v>1.3480051001340336</c:v>
                </c:pt>
                <c:pt idx="2">
                  <c:v>1.3398076150772882</c:v>
                </c:pt>
                <c:pt idx="3">
                  <c:v>2.2601080060476564</c:v>
                </c:pt>
                <c:pt idx="4">
                  <c:v>2.9907486484827657</c:v>
                </c:pt>
                <c:pt idx="5">
                  <c:v>3.1974580377560886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467432"/>
        <c:axId val="932467824"/>
      </c:lineChart>
      <c:catAx>
        <c:axId val="93246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467824"/>
        <c:crosses val="autoZero"/>
        <c:auto val="1"/>
        <c:lblAlgn val="ctr"/>
        <c:lblOffset val="100"/>
        <c:noMultiLvlLbl val="0"/>
      </c:catAx>
      <c:valAx>
        <c:axId val="9324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46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8455735485998E-3"/>
          <c:y val="0.88814278944236236"/>
          <c:w val="0.9819313623532907"/>
          <c:h val="8.3131758350198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04838009110247E-2"/>
          <c:y val="6.4648739246060627E-2"/>
          <c:w val="0.93750478725638531"/>
          <c:h val="0.6960680516495020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19'!$Q$8</c:f>
              <c:strCache>
                <c:ptCount val="1"/>
                <c:pt idx="0">
                  <c:v>Štátny dlh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'Graf 19'!$S$8:$AH$8</c:f>
              <c:numCache>
                <c:formatCode>0.0</c:formatCode>
                <c:ptCount val="16"/>
                <c:pt idx="0">
                  <c:v>29.852167321478003</c:v>
                </c:pt>
                <c:pt idx="1">
                  <c:v>28.865260255413244</c:v>
                </c:pt>
                <c:pt idx="2">
                  <c:v>27.197405055364772</c:v>
                </c:pt>
                <c:pt idx="3">
                  <c:v>33.850863204062279</c:v>
                </c:pt>
                <c:pt idx="4">
                  <c:v>38.066893764622137</c:v>
                </c:pt>
                <c:pt idx="5">
                  <c:v>40.351276820313082</c:v>
                </c:pt>
                <c:pt idx="6">
                  <c:v>47.01117266996124</c:v>
                </c:pt>
                <c:pt idx="7">
                  <c:v>48.834369987393657</c:v>
                </c:pt>
                <c:pt idx="8">
                  <c:v>48.09401920471246</c:v>
                </c:pt>
                <c:pt idx="9">
                  <c:v>47.144237934250583</c:v>
                </c:pt>
                <c:pt idx="10">
                  <c:v>46.980791014558868</c:v>
                </c:pt>
                <c:pt idx="11">
                  <c:v>46.35625863495882</c:v>
                </c:pt>
                <c:pt idx="12">
                  <c:v>44.429652408193498</c:v>
                </c:pt>
                <c:pt idx="13">
                  <c:v>43.394446742502232</c:v>
                </c:pt>
                <c:pt idx="14">
                  <c:v>42.476795093072106</c:v>
                </c:pt>
                <c:pt idx="15">
                  <c:v>41.63310361305696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4-4255-A189-000C806B559A}"/>
            </c:ext>
          </c:extLst>
        </c:ser>
        <c:ser>
          <c:idx val="3"/>
          <c:order val="2"/>
          <c:tx>
            <c:strRef>
              <c:f>'Graf 19'!$Q$6</c:f>
              <c:strCache>
                <c:ptCount val="1"/>
                <c:pt idx="0">
                  <c:v>Ostatné subjekty VS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'Graf 19'!$S$6:$AH$6</c:f>
              <c:numCache>
                <c:formatCode>0.0</c:formatCode>
                <c:ptCount val="16"/>
                <c:pt idx="0">
                  <c:v>1.1228880783872988</c:v>
                </c:pt>
                <c:pt idx="1">
                  <c:v>1.2356534073419556</c:v>
                </c:pt>
                <c:pt idx="2">
                  <c:v>1.2640413117809797</c:v>
                </c:pt>
                <c:pt idx="3">
                  <c:v>2.443536785941324</c:v>
                </c:pt>
                <c:pt idx="4">
                  <c:v>3.1337756909494754</c:v>
                </c:pt>
                <c:pt idx="5">
                  <c:v>3.0799859629161275</c:v>
                </c:pt>
                <c:pt idx="6">
                  <c:v>2.7361071259376408</c:v>
                </c:pt>
                <c:pt idx="7">
                  <c:v>2.6391537706960908</c:v>
                </c:pt>
                <c:pt idx="8">
                  <c:v>1.9387276452467164</c:v>
                </c:pt>
                <c:pt idx="9">
                  <c:v>1.827206371352045</c:v>
                </c:pt>
                <c:pt idx="10">
                  <c:v>1.6654153648422716</c:v>
                </c:pt>
                <c:pt idx="11">
                  <c:v>1.5983624399673244</c:v>
                </c:pt>
                <c:pt idx="12">
                  <c:v>1.4382195614616531</c:v>
                </c:pt>
                <c:pt idx="13">
                  <c:v>1.241583656192577</c:v>
                </c:pt>
                <c:pt idx="14">
                  <c:v>1.047848486239253</c:v>
                </c:pt>
                <c:pt idx="15">
                  <c:v>0.8542173351194613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87-4D56-81C2-A07EFA8118EF}"/>
            </c:ext>
          </c:extLst>
        </c:ser>
        <c:ser>
          <c:idx val="2"/>
          <c:order val="3"/>
          <c:tx>
            <c:strRef>
              <c:f>'Graf 19'!$Q$7</c:f>
              <c:strCache>
                <c:ptCount val="1"/>
                <c:pt idx="0">
                  <c:v>ESFS + ESM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'Graf 19'!$S$7:$AH$7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0.24440015713491706</c:v>
                </c:pt>
                <c:pt idx="6">
                  <c:v>2.4176107782333434</c:v>
                </c:pt>
                <c:pt idx="7">
                  <c:v>3.2656963023248</c:v>
                </c:pt>
                <c:pt idx="8">
                  <c:v>3.4909769107614874</c:v>
                </c:pt>
                <c:pt idx="9">
                  <c:v>3.2093711337901287</c:v>
                </c:pt>
                <c:pt idx="10">
                  <c:v>3.1268776154387958</c:v>
                </c:pt>
                <c:pt idx="11">
                  <c:v>2.9932984479770663</c:v>
                </c:pt>
                <c:pt idx="12">
                  <c:v>2.8120273418563322</c:v>
                </c:pt>
                <c:pt idx="13">
                  <c:v>2.625504352900125</c:v>
                </c:pt>
                <c:pt idx="14">
                  <c:v>2.4652528284020114</c:v>
                </c:pt>
                <c:pt idx="15">
                  <c:v>2.3279891049613246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468608"/>
        <c:axId val="932469000"/>
      </c:barChart>
      <c:lineChart>
        <c:grouping val="standard"/>
        <c:varyColors val="0"/>
        <c:ser>
          <c:idx val="1"/>
          <c:order val="0"/>
          <c:tx>
            <c:strRef>
              <c:f>'Graf 19'!$Q$5</c:f>
              <c:strCache>
                <c:ptCount val="1"/>
                <c:pt idx="0">
                  <c:v>Hrubý dlh VS (maastrichtský)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68965892268774E-2"/>
                  <c:y val="5.468038101231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379813173010254E-2"/>
                  <c:y val="4.774235560712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79813173010223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379813173010289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19447272965037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208599992223525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248234092178276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445908137291985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208599992223657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4208599992223525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2419447272964974E-2"/>
                  <c:y val="9.2839520740871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97752711482207E-2"/>
                  <c:y val="0.117122609659042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087-4D56-81C2-A07EFA8118EF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19'!$S$5:$AH$5</c:f>
              <c:numCache>
                <c:formatCode>0.0</c:formatCode>
                <c:ptCount val="16"/>
                <c:pt idx="0">
                  <c:v>30.975055399865298</c:v>
                </c:pt>
                <c:pt idx="1">
                  <c:v>30.100913662755197</c:v>
                </c:pt>
                <c:pt idx="2">
                  <c:v>28.461446367145747</c:v>
                </c:pt>
                <c:pt idx="3">
                  <c:v>36.294399990003605</c:v>
                </c:pt>
                <c:pt idx="4">
                  <c:v>41.200669455571614</c:v>
                </c:pt>
                <c:pt idx="5">
                  <c:v>43.675662940364127</c:v>
                </c:pt>
                <c:pt idx="6">
                  <c:v>52.16489057413223</c:v>
                </c:pt>
                <c:pt idx="7">
                  <c:v>54.739220060414539</c:v>
                </c:pt>
                <c:pt idx="8">
                  <c:v>53.523723760720657</c:v>
                </c:pt>
                <c:pt idx="9">
                  <c:v>52.180815439392759</c:v>
                </c:pt>
                <c:pt idx="10">
                  <c:v>51.773083994839929</c:v>
                </c:pt>
                <c:pt idx="11">
                  <c:v>50.947919522903206</c:v>
                </c:pt>
                <c:pt idx="12">
                  <c:v>48.679899311511491</c:v>
                </c:pt>
                <c:pt idx="13">
                  <c:v>47.261534751594937</c:v>
                </c:pt>
                <c:pt idx="14">
                  <c:v>45.989896407713374</c:v>
                </c:pt>
                <c:pt idx="15">
                  <c:v>44.81531005313775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ser>
          <c:idx val="7"/>
          <c:order val="4"/>
          <c:tx>
            <c:strRef>
              <c:f>'Graf 19'!$Q$12</c:f>
              <c:strCache>
                <c:ptCount val="1"/>
                <c:pt idx="0">
                  <c:v>List ministra financii s opatreniami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19'!$S$12:$AH$12</c:f>
              <c:numCache>
                <c:formatCode>General</c:formatCode>
                <c:ptCount val="16"/>
                <c:pt idx="6" formatCode="0.0">
                  <c:v>50</c:v>
                </c:pt>
                <c:pt idx="7" formatCode="0.0">
                  <c:v>50</c:v>
                </c:pt>
                <c:pt idx="8" formatCode="0.0">
                  <c:v>50</c:v>
                </c:pt>
                <c:pt idx="9" formatCode="0.0">
                  <c:v>50</c:v>
                </c:pt>
                <c:pt idx="10" formatCode="0.0">
                  <c:v>50</c:v>
                </c:pt>
                <c:pt idx="11" formatCode="0.0">
                  <c:v>50</c:v>
                </c:pt>
                <c:pt idx="12" formatCode="0.0">
                  <c:v>49</c:v>
                </c:pt>
                <c:pt idx="13" formatCode="0.0">
                  <c:v>48</c:v>
                </c:pt>
                <c:pt idx="14" formatCode="0.0">
                  <c:v>47</c:v>
                </c:pt>
                <c:pt idx="15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A4-4255-A189-000C806B559A}"/>
            </c:ext>
          </c:extLst>
        </c:ser>
        <c:ser>
          <c:idx val="4"/>
          <c:order val="5"/>
          <c:tx>
            <c:strRef>
              <c:f>'Graf 19'!$Q$11</c:f>
              <c:strCache>
                <c:ptCount val="1"/>
                <c:pt idx="0">
                  <c:v>Zmrazenie výdavkov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19'!$S$11:$AH$11</c:f>
              <c:numCache>
                <c:formatCode>General</c:formatCode>
                <c:ptCount val="16"/>
                <c:pt idx="6" formatCode="0.0">
                  <c:v>55</c:v>
                </c:pt>
                <c:pt idx="7" formatCode="0.0">
                  <c:v>55</c:v>
                </c:pt>
                <c:pt idx="8" formatCode="0.0">
                  <c:v>55</c:v>
                </c:pt>
                <c:pt idx="9" formatCode="0.0">
                  <c:v>55</c:v>
                </c:pt>
                <c:pt idx="10" formatCode="0.0">
                  <c:v>55</c:v>
                </c:pt>
                <c:pt idx="11" formatCode="0.0">
                  <c:v>55</c:v>
                </c:pt>
                <c:pt idx="12" formatCode="0.0">
                  <c:v>54</c:v>
                </c:pt>
                <c:pt idx="13" formatCode="0.0">
                  <c:v>53</c:v>
                </c:pt>
                <c:pt idx="14" formatCode="0.0">
                  <c:v>52</c:v>
                </c:pt>
                <c:pt idx="15" formatCode="0.0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A4-4255-A189-000C806B559A}"/>
            </c:ext>
          </c:extLst>
        </c:ser>
        <c:ser>
          <c:idx val="5"/>
          <c:order val="6"/>
          <c:tx>
            <c:strRef>
              <c:f>'Graf 19'!$Q$10</c:f>
              <c:strCache>
                <c:ptCount val="1"/>
                <c:pt idx="0">
                  <c:v>Požiadavka vyrovnaného rozpočtu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19'!$S$10:$AH$10</c:f>
              <c:numCache>
                <c:formatCode>General</c:formatCode>
                <c:ptCount val="16"/>
                <c:pt idx="6" formatCode="0.0">
                  <c:v>57</c:v>
                </c:pt>
                <c:pt idx="7" formatCode="0.0">
                  <c:v>57</c:v>
                </c:pt>
                <c:pt idx="8" formatCode="0.0">
                  <c:v>57</c:v>
                </c:pt>
                <c:pt idx="9" formatCode="0.0">
                  <c:v>57</c:v>
                </c:pt>
                <c:pt idx="10" formatCode="0.0">
                  <c:v>57</c:v>
                </c:pt>
                <c:pt idx="11" formatCode="0.0">
                  <c:v>57</c:v>
                </c:pt>
                <c:pt idx="12" formatCode="0.0">
                  <c:v>56</c:v>
                </c:pt>
                <c:pt idx="13" formatCode="0.0">
                  <c:v>55</c:v>
                </c:pt>
                <c:pt idx="14" formatCode="0.0">
                  <c:v>54</c:v>
                </c:pt>
                <c:pt idx="15" formatCode="0.0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A4-4255-A189-000C806B559A}"/>
            </c:ext>
          </c:extLst>
        </c:ser>
        <c:ser>
          <c:idx val="8"/>
          <c:order val="7"/>
          <c:tx>
            <c:strRef>
              <c:f>'Graf 19'!$Q$9</c:f>
              <c:strCache>
                <c:ptCount val="1"/>
                <c:pt idx="0">
                  <c:v>Dlhový strop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19'!$S$9:$AH$9</c:f>
              <c:numCache>
                <c:formatCode>General</c:formatCode>
                <c:ptCount val="16"/>
                <c:pt idx="6" formatCode="0.0">
                  <c:v>60</c:v>
                </c:pt>
                <c:pt idx="7" formatCode="0.0">
                  <c:v>60</c:v>
                </c:pt>
                <c:pt idx="8" formatCode="0.0">
                  <c:v>60</c:v>
                </c:pt>
                <c:pt idx="9" formatCode="0.0">
                  <c:v>60</c:v>
                </c:pt>
                <c:pt idx="10" formatCode="0.0">
                  <c:v>60</c:v>
                </c:pt>
                <c:pt idx="11" formatCode="0.0">
                  <c:v>60</c:v>
                </c:pt>
                <c:pt idx="12" formatCode="0.0">
                  <c:v>59</c:v>
                </c:pt>
                <c:pt idx="13" formatCode="0.0">
                  <c:v>58</c:v>
                </c:pt>
                <c:pt idx="14" formatCode="0.0">
                  <c:v>57</c:v>
                </c:pt>
                <c:pt idx="15" formatCode="0.0">
                  <c:v>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68608"/>
        <c:axId val="932469000"/>
        <c:extLst xmlns:c16r2="http://schemas.microsoft.com/office/drawing/2015/06/chart"/>
      </c:lineChart>
      <c:catAx>
        <c:axId val="9324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932469000"/>
        <c:crosses val="autoZero"/>
        <c:auto val="1"/>
        <c:lblAlgn val="ctr"/>
        <c:lblOffset val="100"/>
        <c:noMultiLvlLbl val="0"/>
      </c:catAx>
      <c:valAx>
        <c:axId val="932469000"/>
        <c:scaling>
          <c:orientation val="minMax"/>
          <c:max val="61"/>
          <c:min val="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932468608"/>
        <c:crosses val="max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1.9175154773094224E-2"/>
          <c:y val="0.83701840816567341"/>
          <c:w val="0.98082479095088815"/>
          <c:h val="0.1505832858051278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04838009110247E-2"/>
          <c:y val="6.4648739246060627E-2"/>
          <c:w val="0.93750478725638531"/>
          <c:h val="0.6960680516495020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19'!$R$8</c:f>
              <c:strCache>
                <c:ptCount val="1"/>
                <c:pt idx="0">
                  <c:v>Sovereign debt (net of international commitments)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'Graf 19'!$S$8:$AH$8</c:f>
              <c:numCache>
                <c:formatCode>0.0</c:formatCode>
                <c:ptCount val="16"/>
                <c:pt idx="0">
                  <c:v>29.852167321478003</c:v>
                </c:pt>
                <c:pt idx="1">
                  <c:v>28.865260255413244</c:v>
                </c:pt>
                <c:pt idx="2">
                  <c:v>27.197405055364772</c:v>
                </c:pt>
                <c:pt idx="3">
                  <c:v>33.850863204062279</c:v>
                </c:pt>
                <c:pt idx="4">
                  <c:v>38.066893764622137</c:v>
                </c:pt>
                <c:pt idx="5">
                  <c:v>40.351276820313082</c:v>
                </c:pt>
                <c:pt idx="6">
                  <c:v>47.01117266996124</c:v>
                </c:pt>
                <c:pt idx="7">
                  <c:v>48.834369987393657</c:v>
                </c:pt>
                <c:pt idx="8">
                  <c:v>48.09401920471246</c:v>
                </c:pt>
                <c:pt idx="9">
                  <c:v>47.144237934250583</c:v>
                </c:pt>
                <c:pt idx="10">
                  <c:v>46.980791014558868</c:v>
                </c:pt>
                <c:pt idx="11">
                  <c:v>46.35625863495882</c:v>
                </c:pt>
                <c:pt idx="12">
                  <c:v>44.429652408193498</c:v>
                </c:pt>
                <c:pt idx="13">
                  <c:v>43.394446742502232</c:v>
                </c:pt>
                <c:pt idx="14">
                  <c:v>42.476795093072106</c:v>
                </c:pt>
                <c:pt idx="15">
                  <c:v>41.63310361305696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4-4255-A189-000C806B559A}"/>
            </c:ext>
          </c:extLst>
        </c:ser>
        <c:ser>
          <c:idx val="3"/>
          <c:order val="2"/>
          <c:tx>
            <c:strRef>
              <c:f>'Graf 19'!$R$6</c:f>
              <c:strCache>
                <c:ptCount val="1"/>
                <c:pt idx="0">
                  <c:v>Debt of other general government entities</c:v>
                </c:pt>
              </c:strCache>
            </c:strRef>
          </c:tx>
          <c:spPr>
            <a:ln w="28575">
              <a:noFill/>
            </a:ln>
          </c:spPr>
          <c:invertIfNegative val="0"/>
          <c:val>
            <c:numRef>
              <c:f>'Graf 19'!$S$6:$AH$6</c:f>
              <c:numCache>
                <c:formatCode>0.0</c:formatCode>
                <c:ptCount val="16"/>
                <c:pt idx="0">
                  <c:v>1.1228880783872988</c:v>
                </c:pt>
                <c:pt idx="1">
                  <c:v>1.2356534073419556</c:v>
                </c:pt>
                <c:pt idx="2">
                  <c:v>1.2640413117809797</c:v>
                </c:pt>
                <c:pt idx="3">
                  <c:v>2.443536785941324</c:v>
                </c:pt>
                <c:pt idx="4">
                  <c:v>3.1337756909494754</c:v>
                </c:pt>
                <c:pt idx="5">
                  <c:v>3.0799859629161275</c:v>
                </c:pt>
                <c:pt idx="6">
                  <c:v>2.7361071259376408</c:v>
                </c:pt>
                <c:pt idx="7">
                  <c:v>2.6391537706960908</c:v>
                </c:pt>
                <c:pt idx="8">
                  <c:v>1.9387276452467164</c:v>
                </c:pt>
                <c:pt idx="9">
                  <c:v>1.827206371352045</c:v>
                </c:pt>
                <c:pt idx="10">
                  <c:v>1.6654153648422716</c:v>
                </c:pt>
                <c:pt idx="11">
                  <c:v>1.5983624399673244</c:v>
                </c:pt>
                <c:pt idx="12">
                  <c:v>1.4382195614616531</c:v>
                </c:pt>
                <c:pt idx="13">
                  <c:v>1.241583656192577</c:v>
                </c:pt>
                <c:pt idx="14">
                  <c:v>1.047848486239253</c:v>
                </c:pt>
                <c:pt idx="15">
                  <c:v>0.8542173351194613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87-4D56-81C2-A07EFA8118EF}"/>
            </c:ext>
          </c:extLst>
        </c:ser>
        <c:ser>
          <c:idx val="2"/>
          <c:order val="3"/>
          <c:tx>
            <c:strRef>
              <c:f>'Graf 19'!$Q$7</c:f>
              <c:strCache>
                <c:ptCount val="1"/>
                <c:pt idx="0">
                  <c:v>ESFS + ESM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'Graf 19'!$S$7:$AH$7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0.24440015713491706</c:v>
                </c:pt>
                <c:pt idx="6">
                  <c:v>2.4176107782333434</c:v>
                </c:pt>
                <c:pt idx="7">
                  <c:v>3.2656963023248</c:v>
                </c:pt>
                <c:pt idx="8">
                  <c:v>3.4909769107614874</c:v>
                </c:pt>
                <c:pt idx="9">
                  <c:v>3.2093711337901287</c:v>
                </c:pt>
                <c:pt idx="10">
                  <c:v>3.1268776154387958</c:v>
                </c:pt>
                <c:pt idx="11">
                  <c:v>2.9932984479770663</c:v>
                </c:pt>
                <c:pt idx="12">
                  <c:v>2.8120273418563322</c:v>
                </c:pt>
                <c:pt idx="13">
                  <c:v>2.625504352900125</c:v>
                </c:pt>
                <c:pt idx="14">
                  <c:v>2.4652528284020114</c:v>
                </c:pt>
                <c:pt idx="15">
                  <c:v>2.3279891049613246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469784"/>
        <c:axId val="932470176"/>
      </c:barChart>
      <c:lineChart>
        <c:grouping val="standard"/>
        <c:varyColors val="0"/>
        <c:ser>
          <c:idx val="1"/>
          <c:order val="0"/>
          <c:tx>
            <c:strRef>
              <c:f>'Graf 19'!$R$5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68965892268774E-2"/>
                  <c:y val="5.468038101231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379813173010254E-2"/>
                  <c:y val="4.774235560712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79813173010223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379813173010289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19447272965037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208599992223525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248234092178276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445908137291985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208599992223657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4208599992223525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2419447272964974E-2"/>
                  <c:y val="9.2839520740871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97752711482207E-2"/>
                  <c:y val="0.117122609659042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087-4D56-81C2-A07EFA8118EF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19'!$S$5:$AH$5</c:f>
              <c:numCache>
                <c:formatCode>0.0</c:formatCode>
                <c:ptCount val="16"/>
                <c:pt idx="0">
                  <c:v>30.975055399865298</c:v>
                </c:pt>
                <c:pt idx="1">
                  <c:v>30.100913662755197</c:v>
                </c:pt>
                <c:pt idx="2">
                  <c:v>28.461446367145747</c:v>
                </c:pt>
                <c:pt idx="3">
                  <c:v>36.294399990003605</c:v>
                </c:pt>
                <c:pt idx="4">
                  <c:v>41.200669455571614</c:v>
                </c:pt>
                <c:pt idx="5">
                  <c:v>43.675662940364127</c:v>
                </c:pt>
                <c:pt idx="6">
                  <c:v>52.16489057413223</c:v>
                </c:pt>
                <c:pt idx="7">
                  <c:v>54.739220060414539</c:v>
                </c:pt>
                <c:pt idx="8">
                  <c:v>53.523723760720657</c:v>
                </c:pt>
                <c:pt idx="9">
                  <c:v>52.180815439392759</c:v>
                </c:pt>
                <c:pt idx="10">
                  <c:v>51.773083994839929</c:v>
                </c:pt>
                <c:pt idx="11">
                  <c:v>50.947919522903206</c:v>
                </c:pt>
                <c:pt idx="12">
                  <c:v>48.679899311511491</c:v>
                </c:pt>
                <c:pt idx="13">
                  <c:v>47.261534751594937</c:v>
                </c:pt>
                <c:pt idx="14">
                  <c:v>45.989896407713374</c:v>
                </c:pt>
                <c:pt idx="15">
                  <c:v>44.81531005313775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ser>
          <c:idx val="7"/>
          <c:order val="4"/>
          <c:tx>
            <c:strRef>
              <c:f>'Graf 19'!$R$12</c:f>
              <c:strCache>
                <c:ptCount val="1"/>
                <c:pt idx="0">
                  <c:v>Letter of the MF minister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19'!$S$12:$AH$12</c:f>
              <c:numCache>
                <c:formatCode>General</c:formatCode>
                <c:ptCount val="16"/>
                <c:pt idx="6" formatCode="0.0">
                  <c:v>50</c:v>
                </c:pt>
                <c:pt idx="7" formatCode="0.0">
                  <c:v>50</c:v>
                </c:pt>
                <c:pt idx="8" formatCode="0.0">
                  <c:v>50</c:v>
                </c:pt>
                <c:pt idx="9" formatCode="0.0">
                  <c:v>50</c:v>
                </c:pt>
                <c:pt idx="10" formatCode="0.0">
                  <c:v>50</c:v>
                </c:pt>
                <c:pt idx="11" formatCode="0.0">
                  <c:v>50</c:v>
                </c:pt>
                <c:pt idx="12" formatCode="0.0">
                  <c:v>49</c:v>
                </c:pt>
                <c:pt idx="13" formatCode="0.0">
                  <c:v>48</c:v>
                </c:pt>
                <c:pt idx="14" formatCode="0.0">
                  <c:v>47</c:v>
                </c:pt>
                <c:pt idx="15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A4-4255-A189-000C806B559A}"/>
            </c:ext>
          </c:extLst>
        </c:ser>
        <c:ser>
          <c:idx val="4"/>
          <c:order val="5"/>
          <c:tx>
            <c:strRef>
              <c:f>'Graf 19'!$R$11</c:f>
              <c:strCache>
                <c:ptCount val="1"/>
                <c:pt idx="0">
                  <c:v>Expenditure freezing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19'!$S$11:$AH$11</c:f>
              <c:numCache>
                <c:formatCode>General</c:formatCode>
                <c:ptCount val="16"/>
                <c:pt idx="6" formatCode="0.0">
                  <c:v>55</c:v>
                </c:pt>
                <c:pt idx="7" formatCode="0.0">
                  <c:v>55</c:v>
                </c:pt>
                <c:pt idx="8" formatCode="0.0">
                  <c:v>55</c:v>
                </c:pt>
                <c:pt idx="9" formatCode="0.0">
                  <c:v>55</c:v>
                </c:pt>
                <c:pt idx="10" formatCode="0.0">
                  <c:v>55</c:v>
                </c:pt>
                <c:pt idx="11" formatCode="0.0">
                  <c:v>55</c:v>
                </c:pt>
                <c:pt idx="12" formatCode="0.0">
                  <c:v>54</c:v>
                </c:pt>
                <c:pt idx="13" formatCode="0.0">
                  <c:v>53</c:v>
                </c:pt>
                <c:pt idx="14" formatCode="0.0">
                  <c:v>52</c:v>
                </c:pt>
                <c:pt idx="15" formatCode="0.0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A4-4255-A189-000C806B559A}"/>
            </c:ext>
          </c:extLst>
        </c:ser>
        <c:ser>
          <c:idx val="5"/>
          <c:order val="6"/>
          <c:tx>
            <c:strRef>
              <c:f>'Graf 19'!$R$10</c:f>
              <c:strCache>
                <c:ptCount val="1"/>
                <c:pt idx="0">
                  <c:v>Budget balance requirement 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19'!$S$10:$AH$10</c:f>
              <c:numCache>
                <c:formatCode>General</c:formatCode>
                <c:ptCount val="16"/>
                <c:pt idx="6" formatCode="0.0">
                  <c:v>57</c:v>
                </c:pt>
                <c:pt idx="7" formatCode="0.0">
                  <c:v>57</c:v>
                </c:pt>
                <c:pt idx="8" formatCode="0.0">
                  <c:v>57</c:v>
                </c:pt>
                <c:pt idx="9" formatCode="0.0">
                  <c:v>57</c:v>
                </c:pt>
                <c:pt idx="10" formatCode="0.0">
                  <c:v>57</c:v>
                </c:pt>
                <c:pt idx="11" formatCode="0.0">
                  <c:v>57</c:v>
                </c:pt>
                <c:pt idx="12" formatCode="0.0">
                  <c:v>56</c:v>
                </c:pt>
                <c:pt idx="13" formatCode="0.0">
                  <c:v>55</c:v>
                </c:pt>
                <c:pt idx="14" formatCode="0.0">
                  <c:v>54</c:v>
                </c:pt>
                <c:pt idx="15" formatCode="0.0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A4-4255-A189-000C806B559A}"/>
            </c:ext>
          </c:extLst>
        </c:ser>
        <c:ser>
          <c:idx val="8"/>
          <c:order val="7"/>
          <c:tx>
            <c:strRef>
              <c:f>'Graf 19'!$R$9</c:f>
              <c:strCache>
                <c:ptCount val="1"/>
                <c:pt idx="0">
                  <c:v>Debt limit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19'!$S$4:$AH$4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'Graf 19'!$S$9:$AH$9</c:f>
              <c:numCache>
                <c:formatCode>General</c:formatCode>
                <c:ptCount val="16"/>
                <c:pt idx="6" formatCode="0.0">
                  <c:v>60</c:v>
                </c:pt>
                <c:pt idx="7" formatCode="0.0">
                  <c:v>60</c:v>
                </c:pt>
                <c:pt idx="8" formatCode="0.0">
                  <c:v>60</c:v>
                </c:pt>
                <c:pt idx="9" formatCode="0.0">
                  <c:v>60</c:v>
                </c:pt>
                <c:pt idx="10" formatCode="0.0">
                  <c:v>60</c:v>
                </c:pt>
                <c:pt idx="11" formatCode="0.0">
                  <c:v>60</c:v>
                </c:pt>
                <c:pt idx="12" formatCode="0.0">
                  <c:v>59</c:v>
                </c:pt>
                <c:pt idx="13" formatCode="0.0">
                  <c:v>58</c:v>
                </c:pt>
                <c:pt idx="14" formatCode="0.0">
                  <c:v>57</c:v>
                </c:pt>
                <c:pt idx="15" formatCode="0.0">
                  <c:v>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69784"/>
        <c:axId val="932470176"/>
        <c:extLst xmlns:c16r2="http://schemas.microsoft.com/office/drawing/2015/06/chart"/>
      </c:lineChart>
      <c:catAx>
        <c:axId val="932469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932470176"/>
        <c:crosses val="autoZero"/>
        <c:auto val="1"/>
        <c:lblAlgn val="ctr"/>
        <c:lblOffset val="100"/>
        <c:noMultiLvlLbl val="0"/>
      </c:catAx>
      <c:valAx>
        <c:axId val="932470176"/>
        <c:scaling>
          <c:orientation val="minMax"/>
          <c:max val="61"/>
          <c:min val="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932469784"/>
        <c:crosses val="max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1.9175154773094224E-2"/>
          <c:y val="0.83701840816567341"/>
          <c:w val="0.98082479095088815"/>
          <c:h val="0.1505832858051278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656255025766888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'Graf 20'!$K$9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20'!$L$9:$R$9</c15:sqref>
                  </c15:fullRef>
                </c:ext>
              </c:extLst>
              <c:f>'Graf 20'!$M$9:$R$9</c:f>
              <c:numCache>
                <c:formatCode>0.0</c:formatCode>
                <c:ptCount val="6"/>
                <c:pt idx="0">
                  <c:v>0.57728384825399592</c:v>
                </c:pt>
                <c:pt idx="1">
                  <c:v>-0.62084569688698787</c:v>
                </c:pt>
                <c:pt idx="2">
                  <c:v>-0.64907564476085144</c:v>
                </c:pt>
                <c:pt idx="3">
                  <c:v>-1.0625693100383538</c:v>
                </c:pt>
                <c:pt idx="4">
                  <c:v>-1.0627113065359584</c:v>
                </c:pt>
                <c:pt idx="5">
                  <c:v>-1.2193208245914331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DA-467C-8C04-90B134CB7EC6}"/>
            </c:ext>
          </c:extLst>
        </c:ser>
        <c:ser>
          <c:idx val="4"/>
          <c:order val="2"/>
          <c:tx>
            <c:strRef>
              <c:f>'Graf 20'!$K$10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20'!$L$10:$R$10</c15:sqref>
                  </c15:fullRef>
                </c:ext>
              </c:extLst>
              <c:f>'Graf 20'!$M$10:$R$10</c:f>
              <c:numCache>
                <c:formatCode>0.0</c:formatCode>
                <c:ptCount val="6"/>
                <c:pt idx="0">
                  <c:v>1.6445556834934025</c:v>
                </c:pt>
                <c:pt idx="1">
                  <c:v>1.3978948525621551</c:v>
                </c:pt>
                <c:pt idx="2">
                  <c:v>1.2502308801793691</c:v>
                </c:pt>
                <c:pt idx="3">
                  <c:v>1.162727244126899</c:v>
                </c:pt>
                <c:pt idx="4">
                  <c:v>1.0627113065359584</c:v>
                </c:pt>
                <c:pt idx="5">
                  <c:v>1.0190039825624526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DA-467C-8C04-90B134CB7EC6}"/>
            </c:ext>
          </c:extLst>
        </c:ser>
        <c:ser>
          <c:idx val="6"/>
          <c:order val="3"/>
          <c:tx>
            <c:strRef>
              <c:f>'Graf 20'!$K$12</c:f>
              <c:strCache>
                <c:ptCount val="1"/>
                <c:pt idx="0">
                  <c:v>Zosúladenie deficitu a dlhu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20'!$L$12:$R$12</c15:sqref>
                  </c15:fullRef>
                </c:ext>
              </c:extLst>
              <c:f>'Graf 20'!$M$12:$R$12</c:f>
              <c:numCache>
                <c:formatCode>0.0</c:formatCode>
                <c:ptCount val="6"/>
                <c:pt idx="0">
                  <c:v>-1.2883178533080202</c:v>
                </c:pt>
                <c:pt idx="1">
                  <c:v>0.60951523021435927</c:v>
                </c:pt>
                <c:pt idx="2">
                  <c:v>0.21617868241409455</c:v>
                </c:pt>
                <c:pt idx="3">
                  <c:v>1.7104362669990885</c:v>
                </c:pt>
                <c:pt idx="4">
                  <c:v>1.6130390270387056</c:v>
                </c:pt>
                <c:pt idx="5">
                  <c:v>1.5864189283489523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DA-467C-8C04-90B134CB7EC6}"/>
            </c:ext>
          </c:extLst>
        </c:ser>
        <c:ser>
          <c:idx val="1"/>
          <c:order val="4"/>
          <c:tx>
            <c:strRef>
              <c:f>'Graf 20'!$K$13</c:f>
              <c:strCache>
                <c:ptCount val="1"/>
                <c:pt idx="0">
                  <c:v>Rast reálneho HDP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20'!$L$13:$R$13</c15:sqref>
                  </c15:fullRef>
                </c:ext>
              </c:extLst>
              <c:f>'Graf 20'!$M$13:$R$13</c:f>
              <c:numCache>
                <c:formatCode>0.0</c:formatCode>
                <c:ptCount val="6"/>
                <c:pt idx="0">
                  <c:v>-1.5623979630693876</c:v>
                </c:pt>
                <c:pt idx="1">
                  <c:v>-1.5982056453628837</c:v>
                </c:pt>
                <c:pt idx="2">
                  <c:v>-2.0383490125674828</c:v>
                </c:pt>
                <c:pt idx="3">
                  <c:v>-2.1459893145273812</c:v>
                </c:pt>
                <c:pt idx="4">
                  <c:v>-1.8231232295615425</c:v>
                </c:pt>
                <c:pt idx="5">
                  <c:v>-1.515689098594357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DA-467C-8C04-90B134CB7EC6}"/>
            </c:ext>
          </c:extLst>
        </c:ser>
        <c:ser>
          <c:idx val="3"/>
          <c:order val="5"/>
          <c:tx>
            <c:strRef>
              <c:f>'Graf 20'!$K$14</c:f>
              <c:strCache>
                <c:ptCount val="1"/>
                <c:pt idx="0">
                  <c:v>Deflátor HDP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20'!$L$14:$R$14</c15:sqref>
                  </c15:fullRef>
                </c:ext>
              </c:extLst>
              <c:f>'Graf 20'!$M$14:$R$14</c:f>
              <c:numCache>
                <c:formatCode>0.0</c:formatCode>
                <c:ptCount val="6"/>
                <c:pt idx="0">
                  <c:v>0.22114484007717916</c:v>
                </c:pt>
                <c:pt idx="1">
                  <c:v>-0.61352321246336627</c:v>
                </c:pt>
                <c:pt idx="2">
                  <c:v>-1.0470051166568441</c:v>
                </c:pt>
                <c:pt idx="3">
                  <c:v>-1.0829694464768069</c:v>
                </c:pt>
                <c:pt idx="4">
                  <c:v>-1.0615541413587257</c:v>
                </c:pt>
                <c:pt idx="5">
                  <c:v>-1.0449993423012385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DA-467C-8C04-90B134CB7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470960"/>
        <c:axId val="979916856"/>
        <c:extLst xmlns:c16r2="http://schemas.microsoft.com/office/drawing/2015/06/chart"/>
      </c:barChart>
      <c:lineChart>
        <c:grouping val="standard"/>
        <c:varyColors val="0"/>
        <c:ser>
          <c:idx val="0"/>
          <c:order val="0"/>
          <c:tx>
            <c:strRef>
              <c:f>'Graf 20'!$K$7</c:f>
              <c:strCache>
                <c:ptCount val="1"/>
                <c:pt idx="0">
                  <c:v>Zmena hrubého dlhu verejnej správy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rgbClr val="000000"/>
                </a:solidFill>
              </a:ln>
            </c:spPr>
          </c:marker>
          <c:dPt>
            <c:idx val="38"/>
            <c:bubble3D val="0"/>
            <c:spPr>
              <a:ln w="25400" cmpd="sng">
                <a:noFill/>
                <a:prstDash val="solid"/>
              </a:ln>
            </c:spPr>
          </c:dPt>
          <c:dPt>
            <c:idx val="39"/>
            <c:bubble3D val="0"/>
            <c:spPr>
              <a:ln w="25400" cmpd="sng">
                <a:noFill/>
                <a:prstDash val="solid"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20'!$L$7:$R$7</c15:sqref>
                  </c15:fullRef>
                </c:ext>
              </c:extLst>
              <c:f>'Graf 20'!$M$7:$R$7</c:f>
              <c:numCache>
                <c:formatCode>0.0</c:formatCode>
                <c:ptCount val="6"/>
                <c:pt idx="0">
                  <c:v>-0.40773144455283017</c:v>
                </c:pt>
                <c:pt idx="1">
                  <c:v>-0.82516447193672349</c:v>
                </c:pt>
                <c:pt idx="2">
                  <c:v>-2.2680202113917147</c:v>
                </c:pt>
                <c:pt idx="3">
                  <c:v>-1.4183645599165544</c:v>
                </c:pt>
                <c:pt idx="4">
                  <c:v>-1.2716383438815626</c:v>
                </c:pt>
                <c:pt idx="5">
                  <c:v>-1.1745863545756237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6DA-467C-8C04-90B134CB7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70960"/>
        <c:axId val="979916856"/>
      </c:lineChart>
      <c:catAx>
        <c:axId val="9324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79916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91685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247096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77175805543977605"/>
          <c:w val="0.97626408639218609"/>
          <c:h val="0.22824194456022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12899279016979E-2"/>
          <c:y val="0.15064589480014279"/>
          <c:w val="0.93750478725638531"/>
          <c:h val="0.71122896034177108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1 + 2'!$F$19</c:f>
              <c:strCache>
                <c:ptCount val="1"/>
                <c:pt idx="0">
                  <c:v>Gross debt (net of  EFSF and ESM)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+ 2'!$G$19:$L$19</c:f>
              <c:numCache>
                <c:formatCode>0.0</c:formatCode>
                <c:ptCount val="6"/>
                <c:pt idx="0">
                  <c:v>48.645907214378106</c:v>
                </c:pt>
                <c:pt idx="1">
                  <c:v>47.954364155580294</c:v>
                </c:pt>
                <c:pt idx="2">
                  <c:v>45.867630609083299</c:v>
                </c:pt>
                <c:pt idx="3">
                  <c:v>44.63580504767399</c:v>
                </c:pt>
                <c:pt idx="4">
                  <c:v>43.524431982921939</c:v>
                </c:pt>
                <c:pt idx="5">
                  <c:v>42.48712113334058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86-4856-BF86-59C9819CDC9E}"/>
            </c:ext>
          </c:extLst>
        </c:ser>
        <c:ser>
          <c:idx val="2"/>
          <c:order val="3"/>
          <c:tx>
            <c:strRef>
              <c:f>'Graf 1 + 2'!$F$20</c:f>
              <c:strCache>
                <c:ptCount val="1"/>
                <c:pt idx="0">
                  <c:v>EFSF and ESM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+ 2'!$G$20:$L$20</c:f>
              <c:numCache>
                <c:formatCode>0.0</c:formatCode>
                <c:ptCount val="6"/>
                <c:pt idx="0">
                  <c:v>3.1268776154387958</c:v>
                </c:pt>
                <c:pt idx="1">
                  <c:v>2.9932984479770659</c:v>
                </c:pt>
                <c:pt idx="2">
                  <c:v>2.8120273418563317</c:v>
                </c:pt>
                <c:pt idx="3">
                  <c:v>2.625504352900125</c:v>
                </c:pt>
                <c:pt idx="4">
                  <c:v>2.4652528284020114</c:v>
                </c:pt>
                <c:pt idx="5">
                  <c:v>2.3279891049613251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86-4856-BF86-59C9819C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overlap val="100"/>
        <c:axId val="932936416"/>
        <c:axId val="932936808"/>
      </c:barChart>
      <c:lineChart>
        <c:grouping val="standard"/>
        <c:varyColors val="0"/>
        <c:ser>
          <c:idx val="4"/>
          <c:order val="0"/>
          <c:tx>
            <c:strRef>
              <c:f>'Graf 1 + 2'!$F$26</c:f>
              <c:strCache>
                <c:ptCount val="1"/>
                <c:pt idx="0">
                  <c:v>57-60% HDP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+ 2'!$G$26:$L$26</c:f>
              <c:numCache>
                <c:formatCode>0.0</c:formatCode>
                <c:ptCount val="6"/>
                <c:pt idx="0">
                  <c:v>57</c:v>
                </c:pt>
                <c:pt idx="1">
                  <c:v>57</c:v>
                </c:pt>
                <c:pt idx="2">
                  <c:v>56</c:v>
                </c:pt>
                <c:pt idx="3">
                  <c:v>55</c:v>
                </c:pt>
                <c:pt idx="4">
                  <c:v>54</c:v>
                </c:pt>
                <c:pt idx="5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F86-4856-BF86-59C9819CDC9E}"/>
            </c:ext>
          </c:extLst>
        </c:ser>
        <c:ser>
          <c:idx val="3"/>
          <c:order val="1"/>
          <c:tx>
            <c:strRef>
              <c:f>'Graf 1 + 2'!$F$23</c:f>
              <c:strCache>
                <c:ptCount val="1"/>
                <c:pt idx="0">
                  <c:v>50-53% HDP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+ 2'!$G$23:$L$23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F86-4856-BF86-59C9819CDC9E}"/>
            </c:ext>
          </c:extLst>
        </c:ser>
        <c:ser>
          <c:idx val="1"/>
          <c:order val="4"/>
          <c:tx>
            <c:strRef>
              <c:f>'Graf 1 + 2'!$E$18</c:f>
              <c:strCache>
                <c:ptCount val="1"/>
                <c:pt idx="0">
                  <c:v>Hrubý dlh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6158987639362513E-2"/>
                  <c:y val="-8.253036262023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F86-4856-BF86-59C9819CDC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158987639362513E-2"/>
                  <c:y val="-9.341471169758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F86-4856-BF86-59C9819CDC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158987639362513E-2"/>
                  <c:y val="-9.885688623626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F86-4856-BF86-59C9819CDC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158987639362624E-2"/>
                  <c:y val="-9.3414711697589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F86-4856-BF86-59C9819CDC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15875"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+ 2'!$G$18:$L$18</c:f>
              <c:numCache>
                <c:formatCode>0.0</c:formatCode>
                <c:ptCount val="6"/>
                <c:pt idx="0">
                  <c:v>51.772784829816899</c:v>
                </c:pt>
                <c:pt idx="1">
                  <c:v>50.947662603557362</c:v>
                </c:pt>
                <c:pt idx="2">
                  <c:v>48.679657950939628</c:v>
                </c:pt>
                <c:pt idx="3">
                  <c:v>47.261309400574113</c:v>
                </c:pt>
                <c:pt idx="4">
                  <c:v>45.989684811323947</c:v>
                </c:pt>
                <c:pt idx="5">
                  <c:v>44.815110238301905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F86-4856-BF86-59C9819CDC9E}"/>
            </c:ext>
          </c:extLst>
        </c:ser>
        <c:ser>
          <c:idx val="6"/>
          <c:order val="5"/>
          <c:tx>
            <c:strRef>
              <c:f>'Graf 1 + 2'!$F$21</c:f>
              <c:strCache>
                <c:ptCount val="1"/>
                <c:pt idx="0">
                  <c:v>Net Debt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 + 2'!$G$17:$L$17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1 + 2'!$G$21:$L$21</c:f>
              <c:numCache>
                <c:formatCode>0.0</c:formatCode>
                <c:ptCount val="6"/>
                <c:pt idx="0">
                  <c:v>46.888509555300054</c:v>
                </c:pt>
                <c:pt idx="1">
                  <c:v>45.575937143558477</c:v>
                </c:pt>
                <c:pt idx="2">
                  <c:v>43.393033307834287</c:v>
                </c:pt>
                <c:pt idx="3">
                  <c:v>41.711231606274715</c:v>
                </c:pt>
                <c:pt idx="4">
                  <c:v>40.052108160419579</c:v>
                </c:pt>
                <c:pt idx="5">
                  <c:v>38.542184262099305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F86-4856-BF86-59C9819C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936416"/>
        <c:axId val="932936808"/>
      </c:lineChart>
      <c:catAx>
        <c:axId val="9329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sk-SK"/>
          </a:p>
        </c:txPr>
        <c:crossAx val="932936808"/>
        <c:crosses val="autoZero"/>
        <c:auto val="1"/>
        <c:lblAlgn val="ctr"/>
        <c:lblOffset val="100"/>
        <c:noMultiLvlLbl val="0"/>
      </c:catAx>
      <c:valAx>
        <c:axId val="932936808"/>
        <c:scaling>
          <c:orientation val="minMax"/>
          <c:min val="3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  <a:prstDash val="sysDot"/>
          </a:ln>
        </c:spPr>
        <c:crossAx val="932936416"/>
        <c:crosses val="max"/>
        <c:crossBetween val="between"/>
        <c:majorUnit val="5"/>
      </c:valAx>
      <c:spPr>
        <a:noFill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3695041630982152E-2"/>
          <c:y val="2.8569000722285114E-2"/>
          <c:w val="0.90013784027123867"/>
          <c:h val="0.13228673591009707"/>
        </c:manualLayout>
      </c:layout>
      <c:overlay val="0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656255025766888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'Graf 20'!$J$9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20'!$L$9:$R$9</c15:sqref>
                  </c15:fullRef>
                </c:ext>
              </c:extLst>
              <c:f>'Graf 20'!$M$9:$R$9</c:f>
              <c:numCache>
                <c:formatCode>0.0</c:formatCode>
                <c:ptCount val="6"/>
                <c:pt idx="0">
                  <c:v>0.57728384825399592</c:v>
                </c:pt>
                <c:pt idx="1">
                  <c:v>-0.62084569688698787</c:v>
                </c:pt>
                <c:pt idx="2">
                  <c:v>-0.64907564476085144</c:v>
                </c:pt>
                <c:pt idx="3">
                  <c:v>-1.0625693100383538</c:v>
                </c:pt>
                <c:pt idx="4">
                  <c:v>-1.0627113065359584</c:v>
                </c:pt>
                <c:pt idx="5">
                  <c:v>-1.2193208245914331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DA-467C-8C04-90B134CB7EC6}"/>
            </c:ext>
          </c:extLst>
        </c:ser>
        <c:ser>
          <c:idx val="4"/>
          <c:order val="2"/>
          <c:tx>
            <c:strRef>
              <c:f>'Graf 20'!$J$10</c:f>
              <c:strCache>
                <c:ptCount val="1"/>
                <c:pt idx="0">
                  <c:v>Interest expense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20'!$L$10:$R$10</c15:sqref>
                  </c15:fullRef>
                </c:ext>
              </c:extLst>
              <c:f>'Graf 20'!$M$10:$R$10</c:f>
              <c:numCache>
                <c:formatCode>0.0</c:formatCode>
                <c:ptCount val="6"/>
                <c:pt idx="0">
                  <c:v>1.6445556834934025</c:v>
                </c:pt>
                <c:pt idx="1">
                  <c:v>1.3978948525621551</c:v>
                </c:pt>
                <c:pt idx="2">
                  <c:v>1.2502308801793691</c:v>
                </c:pt>
                <c:pt idx="3">
                  <c:v>1.162727244126899</c:v>
                </c:pt>
                <c:pt idx="4">
                  <c:v>1.0627113065359584</c:v>
                </c:pt>
                <c:pt idx="5">
                  <c:v>1.0190039825624526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DA-467C-8C04-90B134CB7EC6}"/>
            </c:ext>
          </c:extLst>
        </c:ser>
        <c:ser>
          <c:idx val="6"/>
          <c:order val="3"/>
          <c:tx>
            <c:strRef>
              <c:f>'Graf 20'!$J$12</c:f>
              <c:strCache>
                <c:ptCount val="1"/>
                <c:pt idx="0">
                  <c:v>Stock - flow adjustment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20'!$L$12:$R$12</c15:sqref>
                  </c15:fullRef>
                </c:ext>
              </c:extLst>
              <c:f>'Graf 20'!$M$12:$R$12</c:f>
              <c:numCache>
                <c:formatCode>0.0</c:formatCode>
                <c:ptCount val="6"/>
                <c:pt idx="0">
                  <c:v>-1.2883178533080202</c:v>
                </c:pt>
                <c:pt idx="1">
                  <c:v>0.60951523021435927</c:v>
                </c:pt>
                <c:pt idx="2">
                  <c:v>0.21617868241409455</c:v>
                </c:pt>
                <c:pt idx="3">
                  <c:v>1.7104362669990885</c:v>
                </c:pt>
                <c:pt idx="4">
                  <c:v>1.6130390270387056</c:v>
                </c:pt>
                <c:pt idx="5">
                  <c:v>1.5864189283489523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DA-467C-8C04-90B134CB7EC6}"/>
            </c:ext>
          </c:extLst>
        </c:ser>
        <c:ser>
          <c:idx val="1"/>
          <c:order val="4"/>
          <c:tx>
            <c:strRef>
              <c:f>'Graf 20'!$J$13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20'!$L$13:$R$13</c15:sqref>
                  </c15:fullRef>
                </c:ext>
              </c:extLst>
              <c:f>'Graf 20'!$M$13:$R$13</c:f>
              <c:numCache>
                <c:formatCode>0.0</c:formatCode>
                <c:ptCount val="6"/>
                <c:pt idx="0">
                  <c:v>-1.5623979630693876</c:v>
                </c:pt>
                <c:pt idx="1">
                  <c:v>-1.5982056453628837</c:v>
                </c:pt>
                <c:pt idx="2">
                  <c:v>-2.0383490125674828</c:v>
                </c:pt>
                <c:pt idx="3">
                  <c:v>-2.1459893145273812</c:v>
                </c:pt>
                <c:pt idx="4">
                  <c:v>-1.8231232295615425</c:v>
                </c:pt>
                <c:pt idx="5">
                  <c:v>-1.515689098594357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DA-467C-8C04-90B134CB7EC6}"/>
            </c:ext>
          </c:extLst>
        </c:ser>
        <c:ser>
          <c:idx val="3"/>
          <c:order val="5"/>
          <c:tx>
            <c:strRef>
              <c:f>'Graf 20'!$J$14</c:f>
              <c:strCache>
                <c:ptCount val="1"/>
                <c:pt idx="0">
                  <c:v>GDP deflator 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20'!$L$14:$R$14</c15:sqref>
                  </c15:fullRef>
                </c:ext>
              </c:extLst>
              <c:f>'Graf 20'!$M$14:$R$14</c:f>
              <c:numCache>
                <c:formatCode>0.0</c:formatCode>
                <c:ptCount val="6"/>
                <c:pt idx="0">
                  <c:v>0.22114484007717916</c:v>
                </c:pt>
                <c:pt idx="1">
                  <c:v>-0.61352321246336627</c:v>
                </c:pt>
                <c:pt idx="2">
                  <c:v>-1.0470051166568441</c:v>
                </c:pt>
                <c:pt idx="3">
                  <c:v>-1.0829694464768069</c:v>
                </c:pt>
                <c:pt idx="4">
                  <c:v>-1.0615541413587257</c:v>
                </c:pt>
                <c:pt idx="5">
                  <c:v>-1.0449993423012385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DA-467C-8C04-90B134CB7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9917640"/>
        <c:axId val="979918032"/>
        <c:extLst xmlns:c16r2="http://schemas.microsoft.com/office/drawing/2015/06/chart"/>
      </c:barChart>
      <c:lineChart>
        <c:grouping val="standard"/>
        <c:varyColors val="0"/>
        <c:ser>
          <c:idx val="0"/>
          <c:order val="0"/>
          <c:tx>
            <c:strRef>
              <c:f>'Graf 20'!$J$7</c:f>
              <c:strCache>
                <c:ptCount val="1"/>
                <c:pt idx="0">
                  <c:v>Change in gross debt of general government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rgbClr val="000000"/>
                </a:solidFill>
              </a:ln>
            </c:spPr>
          </c:marker>
          <c:dPt>
            <c:idx val="40"/>
            <c:bubble3D val="0"/>
            <c:spPr>
              <a:ln w="25400" cmpd="sng">
                <a:noFill/>
                <a:prstDash val="solid"/>
              </a:ln>
            </c:spPr>
          </c:dPt>
          <c:dPt>
            <c:idx val="41"/>
            <c:bubble3D val="0"/>
            <c:spPr>
              <a:ln w="25400" cmpd="sng">
                <a:noFill/>
                <a:prstDash val="solid"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20'!$L$6:$R$6</c15:sqref>
                  </c15:fullRef>
                </c:ext>
              </c:extLst>
              <c:f>'Graf 20'!$M$6:$R$6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20'!$L$7:$R$7</c15:sqref>
                  </c15:fullRef>
                </c:ext>
              </c:extLst>
              <c:f>'Graf 20'!$M$7:$R$7</c:f>
              <c:numCache>
                <c:formatCode>0.0</c:formatCode>
                <c:ptCount val="6"/>
                <c:pt idx="0">
                  <c:v>-0.40773144455283017</c:v>
                </c:pt>
                <c:pt idx="1">
                  <c:v>-0.82516447193672349</c:v>
                </c:pt>
                <c:pt idx="2">
                  <c:v>-2.2680202113917147</c:v>
                </c:pt>
                <c:pt idx="3">
                  <c:v>-1.4183645599165544</c:v>
                </c:pt>
                <c:pt idx="4">
                  <c:v>-1.2716383438815626</c:v>
                </c:pt>
                <c:pt idx="5">
                  <c:v>-1.1745863545756237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6DA-467C-8C04-90B134CB7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917640"/>
        <c:axId val="979918032"/>
      </c:lineChart>
      <c:catAx>
        <c:axId val="97991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7991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91803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7991764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77175805543977605"/>
          <c:w val="0.97626408639218609"/>
          <c:h val="0.22824194456022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21'!$M$7</c:f>
              <c:strCache>
                <c:ptCount val="1"/>
                <c:pt idx="0">
                  <c:v>Čistý dlh verejnej správy</c:v>
                </c:pt>
              </c:strCache>
            </c:strRef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21'!$O$5:$V$5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'Graf 21'!$O$7:$V$7</c:f>
              <c:numCache>
                <c:formatCode>0.0</c:formatCode>
                <c:ptCount val="8"/>
                <c:pt idx="0">
                  <c:v>49.73045701196547</c:v>
                </c:pt>
                <c:pt idx="1">
                  <c:v>47.938581956369468</c:v>
                </c:pt>
                <c:pt idx="2">
                  <c:v>46.888509555300054</c:v>
                </c:pt>
                <c:pt idx="3">
                  <c:v>45.575937143558477</c:v>
                </c:pt>
                <c:pt idx="4">
                  <c:v>43.393033307834287</c:v>
                </c:pt>
                <c:pt idx="5">
                  <c:v>41.711231606274715</c:v>
                </c:pt>
                <c:pt idx="6">
                  <c:v>40.052108160419579</c:v>
                </c:pt>
                <c:pt idx="7">
                  <c:v>38.542184262099305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DF-492B-A67F-912C99DD1E8D}"/>
            </c:ext>
          </c:extLst>
        </c:ser>
        <c:ser>
          <c:idx val="2"/>
          <c:order val="1"/>
          <c:tx>
            <c:strRef>
              <c:f>'Graf 21'!$M$8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21'!$O$5:$V$5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'Graf 21'!$O$8:$V$8</c:f>
              <c:numCache>
                <c:formatCode>0.0</c:formatCode>
                <c:ptCount val="8"/>
                <c:pt idx="0">
                  <c:v>3.7932667487551868</c:v>
                </c:pt>
                <c:pt idx="1">
                  <c:v>4.2422334830232913</c:v>
                </c:pt>
                <c:pt idx="2">
                  <c:v>4.8845744395398754</c:v>
                </c:pt>
                <c:pt idx="3">
                  <c:v>5.3719823793447317</c:v>
                </c:pt>
                <c:pt idx="4">
                  <c:v>5.2868660036771971</c:v>
                </c:pt>
                <c:pt idx="5">
                  <c:v>5.5503031453202203</c:v>
                </c:pt>
                <c:pt idx="6">
                  <c:v>5.9377882472937928</c:v>
                </c:pt>
                <c:pt idx="7">
                  <c:v>6.2731257910384421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DF-492B-A67F-912C99DD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3573200"/>
        <c:axId val="913573592"/>
      </c:barChart>
      <c:lineChart>
        <c:grouping val="standard"/>
        <c:varyColors val="0"/>
        <c:ser>
          <c:idx val="0"/>
          <c:order val="2"/>
          <c:tx>
            <c:strRef>
              <c:f>'Graf 21'!$M$6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21'!$O$5:$V$5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'Graf 21'!$O$6:$V$6</c:f>
              <c:numCache>
                <c:formatCode>0.0</c:formatCode>
                <c:ptCount val="8"/>
                <c:pt idx="0">
                  <c:v>53.523723760720657</c:v>
                </c:pt>
                <c:pt idx="1">
                  <c:v>52.180815439392759</c:v>
                </c:pt>
                <c:pt idx="2">
                  <c:v>51.772784829816899</c:v>
                </c:pt>
                <c:pt idx="3">
                  <c:v>50.947662603557362</c:v>
                </c:pt>
                <c:pt idx="4">
                  <c:v>48.679657950939628</c:v>
                </c:pt>
                <c:pt idx="5">
                  <c:v>47.261309400574113</c:v>
                </c:pt>
                <c:pt idx="6">
                  <c:v>45.989684811323947</c:v>
                </c:pt>
                <c:pt idx="7">
                  <c:v>44.815110238301905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DF-492B-A67F-912C99DD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573200"/>
        <c:axId val="913573592"/>
      </c:lineChart>
      <c:catAx>
        <c:axId val="9135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913573592"/>
        <c:crosses val="autoZero"/>
        <c:auto val="1"/>
        <c:lblAlgn val="ctr"/>
        <c:lblOffset val="100"/>
        <c:noMultiLvlLbl val="0"/>
      </c:catAx>
      <c:valAx>
        <c:axId val="9135735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913573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21'!$N$7</c:f>
              <c:strCache>
                <c:ptCount val="1"/>
                <c:pt idx="0">
                  <c:v>Net debt</c:v>
                </c:pt>
              </c:strCache>
            </c:strRef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21'!$O$5:$V$5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'Graf 21'!$O$7:$V$7</c:f>
              <c:numCache>
                <c:formatCode>0.0</c:formatCode>
                <c:ptCount val="8"/>
                <c:pt idx="0">
                  <c:v>49.73045701196547</c:v>
                </c:pt>
                <c:pt idx="1">
                  <c:v>47.938581956369468</c:v>
                </c:pt>
                <c:pt idx="2">
                  <c:v>46.888509555300054</c:v>
                </c:pt>
                <c:pt idx="3">
                  <c:v>45.575937143558477</c:v>
                </c:pt>
                <c:pt idx="4">
                  <c:v>43.393033307834287</c:v>
                </c:pt>
                <c:pt idx="5">
                  <c:v>41.711231606274715</c:v>
                </c:pt>
                <c:pt idx="6">
                  <c:v>40.052108160419579</c:v>
                </c:pt>
                <c:pt idx="7">
                  <c:v>38.542184262099305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DF-492B-A67F-912C99DD1E8D}"/>
            </c:ext>
          </c:extLst>
        </c:ser>
        <c:ser>
          <c:idx val="2"/>
          <c:order val="1"/>
          <c:tx>
            <c:strRef>
              <c:f>'Graf 21'!$N$8</c:f>
              <c:strCache>
                <c:ptCount val="1"/>
                <c:pt idx="0">
                  <c:v>Liquid assets of GG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21'!$O$5:$V$5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'Graf 21'!$O$8:$V$8</c:f>
              <c:numCache>
                <c:formatCode>0.0</c:formatCode>
                <c:ptCount val="8"/>
                <c:pt idx="0">
                  <c:v>3.7932667487551868</c:v>
                </c:pt>
                <c:pt idx="1">
                  <c:v>4.2422334830232913</c:v>
                </c:pt>
                <c:pt idx="2">
                  <c:v>4.8845744395398754</c:v>
                </c:pt>
                <c:pt idx="3">
                  <c:v>5.3719823793447317</c:v>
                </c:pt>
                <c:pt idx="4">
                  <c:v>5.2868660036771971</c:v>
                </c:pt>
                <c:pt idx="5">
                  <c:v>5.5503031453202203</c:v>
                </c:pt>
                <c:pt idx="6">
                  <c:v>5.9377882472937928</c:v>
                </c:pt>
                <c:pt idx="7">
                  <c:v>6.2731257910384421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DF-492B-A67F-912C99DD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3574376"/>
        <c:axId val="913574768"/>
      </c:barChart>
      <c:lineChart>
        <c:grouping val="standard"/>
        <c:varyColors val="0"/>
        <c:ser>
          <c:idx val="0"/>
          <c:order val="2"/>
          <c:tx>
            <c:strRef>
              <c:f>'Graf 21'!$N$6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21'!$O$5:$V$5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'Graf 21'!$O$6:$V$6</c:f>
              <c:numCache>
                <c:formatCode>0.0</c:formatCode>
                <c:ptCount val="8"/>
                <c:pt idx="0">
                  <c:v>53.523723760720657</c:v>
                </c:pt>
                <c:pt idx="1">
                  <c:v>52.180815439392759</c:v>
                </c:pt>
                <c:pt idx="2">
                  <c:v>51.772784829816899</c:v>
                </c:pt>
                <c:pt idx="3">
                  <c:v>50.947662603557362</c:v>
                </c:pt>
                <c:pt idx="4">
                  <c:v>48.679657950939628</c:v>
                </c:pt>
                <c:pt idx="5">
                  <c:v>47.261309400574113</c:v>
                </c:pt>
                <c:pt idx="6">
                  <c:v>45.989684811323947</c:v>
                </c:pt>
                <c:pt idx="7">
                  <c:v>44.815110238301905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DF-492B-A67F-912C99DD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574376"/>
        <c:axId val="913574768"/>
      </c:lineChart>
      <c:catAx>
        <c:axId val="91357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913574768"/>
        <c:crosses val="autoZero"/>
        <c:auto val="1"/>
        <c:lblAlgn val="ctr"/>
        <c:lblOffset val="100"/>
        <c:noMultiLvlLbl val="0"/>
      </c:catAx>
      <c:valAx>
        <c:axId val="9135747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913574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22'!$C$5</c:f>
              <c:strCache>
                <c:ptCount val="1"/>
                <c:pt idx="0">
                  <c:v>Reálna rovnovážna sadzba</c:v>
                </c:pt>
              </c:strCache>
            </c:strRef>
          </c:tx>
          <c:spPr>
            <a:ln w="28575" cap="flat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22'!$B$7:$B$137</c:f>
              <c:numCache>
                <c:formatCode>m/d/yyyy</c:formatCode>
                <c:ptCount val="131"/>
                <c:pt idx="0">
                  <c:v>31137</c:v>
                </c:pt>
                <c:pt idx="1">
                  <c:v>31228</c:v>
                </c:pt>
                <c:pt idx="2">
                  <c:v>31320</c:v>
                </c:pt>
                <c:pt idx="3">
                  <c:v>31412</c:v>
                </c:pt>
                <c:pt idx="4">
                  <c:v>31502</c:v>
                </c:pt>
                <c:pt idx="5">
                  <c:v>31593</c:v>
                </c:pt>
                <c:pt idx="6">
                  <c:v>31685</c:v>
                </c:pt>
                <c:pt idx="7">
                  <c:v>31777</c:v>
                </c:pt>
                <c:pt idx="8">
                  <c:v>31867</c:v>
                </c:pt>
                <c:pt idx="9">
                  <c:v>31958</c:v>
                </c:pt>
                <c:pt idx="10">
                  <c:v>32050</c:v>
                </c:pt>
                <c:pt idx="11">
                  <c:v>32142</c:v>
                </c:pt>
                <c:pt idx="12">
                  <c:v>32233</c:v>
                </c:pt>
                <c:pt idx="13">
                  <c:v>32324</c:v>
                </c:pt>
                <c:pt idx="14">
                  <c:v>32416</c:v>
                </c:pt>
                <c:pt idx="15">
                  <c:v>32508</c:v>
                </c:pt>
                <c:pt idx="16">
                  <c:v>32598</c:v>
                </c:pt>
                <c:pt idx="17">
                  <c:v>32689</c:v>
                </c:pt>
                <c:pt idx="18">
                  <c:v>32781</c:v>
                </c:pt>
                <c:pt idx="19">
                  <c:v>32873</c:v>
                </c:pt>
                <c:pt idx="20">
                  <c:v>32963</c:v>
                </c:pt>
                <c:pt idx="21">
                  <c:v>33054</c:v>
                </c:pt>
                <c:pt idx="22">
                  <c:v>33146</c:v>
                </c:pt>
                <c:pt idx="23">
                  <c:v>33238</c:v>
                </c:pt>
                <c:pt idx="24">
                  <c:v>33328</c:v>
                </c:pt>
                <c:pt idx="25">
                  <c:v>33419</c:v>
                </c:pt>
                <c:pt idx="26">
                  <c:v>33511</c:v>
                </c:pt>
                <c:pt idx="27">
                  <c:v>33603</c:v>
                </c:pt>
                <c:pt idx="28">
                  <c:v>33694</c:v>
                </c:pt>
                <c:pt idx="29">
                  <c:v>33785</c:v>
                </c:pt>
                <c:pt idx="30">
                  <c:v>33877</c:v>
                </c:pt>
                <c:pt idx="31">
                  <c:v>33969</c:v>
                </c:pt>
                <c:pt idx="32">
                  <c:v>34059</c:v>
                </c:pt>
                <c:pt idx="33">
                  <c:v>34150</c:v>
                </c:pt>
                <c:pt idx="34">
                  <c:v>34242</c:v>
                </c:pt>
                <c:pt idx="35">
                  <c:v>34334</c:v>
                </c:pt>
                <c:pt idx="36">
                  <c:v>34424</c:v>
                </c:pt>
                <c:pt idx="37">
                  <c:v>34515</c:v>
                </c:pt>
                <c:pt idx="38">
                  <c:v>34607</c:v>
                </c:pt>
                <c:pt idx="39">
                  <c:v>34699</c:v>
                </c:pt>
                <c:pt idx="40">
                  <c:v>34789</c:v>
                </c:pt>
                <c:pt idx="41">
                  <c:v>34880</c:v>
                </c:pt>
                <c:pt idx="42">
                  <c:v>34972</c:v>
                </c:pt>
                <c:pt idx="43">
                  <c:v>35064</c:v>
                </c:pt>
                <c:pt idx="44">
                  <c:v>35155</c:v>
                </c:pt>
                <c:pt idx="45">
                  <c:v>35246</c:v>
                </c:pt>
                <c:pt idx="46">
                  <c:v>35338</c:v>
                </c:pt>
                <c:pt idx="47">
                  <c:v>35430</c:v>
                </c:pt>
                <c:pt idx="48">
                  <c:v>35520</c:v>
                </c:pt>
                <c:pt idx="49">
                  <c:v>35611</c:v>
                </c:pt>
                <c:pt idx="50">
                  <c:v>35703</c:v>
                </c:pt>
                <c:pt idx="51">
                  <c:v>35795</c:v>
                </c:pt>
                <c:pt idx="52">
                  <c:v>35885</c:v>
                </c:pt>
                <c:pt idx="53">
                  <c:v>35976</c:v>
                </c:pt>
                <c:pt idx="54">
                  <c:v>36068</c:v>
                </c:pt>
                <c:pt idx="55">
                  <c:v>36160</c:v>
                </c:pt>
                <c:pt idx="56">
                  <c:v>36250</c:v>
                </c:pt>
                <c:pt idx="57">
                  <c:v>36341</c:v>
                </c:pt>
                <c:pt idx="58">
                  <c:v>36433</c:v>
                </c:pt>
                <c:pt idx="59">
                  <c:v>36525</c:v>
                </c:pt>
                <c:pt idx="60">
                  <c:v>36616</c:v>
                </c:pt>
                <c:pt idx="61">
                  <c:v>36707</c:v>
                </c:pt>
                <c:pt idx="62">
                  <c:v>36799</c:v>
                </c:pt>
                <c:pt idx="63">
                  <c:v>36891</c:v>
                </c:pt>
                <c:pt idx="64">
                  <c:v>36981</c:v>
                </c:pt>
                <c:pt idx="65">
                  <c:v>37072</c:v>
                </c:pt>
                <c:pt idx="66">
                  <c:v>37164</c:v>
                </c:pt>
                <c:pt idx="67">
                  <c:v>37256</c:v>
                </c:pt>
                <c:pt idx="68">
                  <c:v>37346</c:v>
                </c:pt>
                <c:pt idx="69">
                  <c:v>37437</c:v>
                </c:pt>
                <c:pt idx="70">
                  <c:v>37529</c:v>
                </c:pt>
                <c:pt idx="71">
                  <c:v>37621</c:v>
                </c:pt>
                <c:pt idx="72">
                  <c:v>37711</c:v>
                </c:pt>
                <c:pt idx="73">
                  <c:v>37802</c:v>
                </c:pt>
                <c:pt idx="74">
                  <c:v>37894</c:v>
                </c:pt>
                <c:pt idx="75">
                  <c:v>37986</c:v>
                </c:pt>
                <c:pt idx="76">
                  <c:v>38077</c:v>
                </c:pt>
                <c:pt idx="77">
                  <c:v>38168</c:v>
                </c:pt>
                <c:pt idx="78">
                  <c:v>38260</c:v>
                </c:pt>
                <c:pt idx="79">
                  <c:v>38352</c:v>
                </c:pt>
                <c:pt idx="80">
                  <c:v>38442</c:v>
                </c:pt>
                <c:pt idx="81">
                  <c:v>38533</c:v>
                </c:pt>
                <c:pt idx="82">
                  <c:v>38625</c:v>
                </c:pt>
                <c:pt idx="83">
                  <c:v>38717</c:v>
                </c:pt>
                <c:pt idx="84">
                  <c:v>38807</c:v>
                </c:pt>
                <c:pt idx="85">
                  <c:v>38898</c:v>
                </c:pt>
                <c:pt idx="86">
                  <c:v>38990</c:v>
                </c:pt>
                <c:pt idx="87">
                  <c:v>39082</c:v>
                </c:pt>
                <c:pt idx="88">
                  <c:v>39172</c:v>
                </c:pt>
                <c:pt idx="89">
                  <c:v>39263</c:v>
                </c:pt>
                <c:pt idx="90">
                  <c:v>39355</c:v>
                </c:pt>
                <c:pt idx="91">
                  <c:v>39447</c:v>
                </c:pt>
                <c:pt idx="92">
                  <c:v>39538</c:v>
                </c:pt>
                <c:pt idx="93">
                  <c:v>39629</c:v>
                </c:pt>
                <c:pt idx="94">
                  <c:v>39721</c:v>
                </c:pt>
                <c:pt idx="95">
                  <c:v>39813</c:v>
                </c:pt>
                <c:pt idx="96">
                  <c:v>39903</c:v>
                </c:pt>
                <c:pt idx="97">
                  <c:v>39994</c:v>
                </c:pt>
                <c:pt idx="98">
                  <c:v>40086</c:v>
                </c:pt>
                <c:pt idx="99">
                  <c:v>40178</c:v>
                </c:pt>
                <c:pt idx="100">
                  <c:v>40268</c:v>
                </c:pt>
                <c:pt idx="101">
                  <c:v>40359</c:v>
                </c:pt>
                <c:pt idx="102">
                  <c:v>40451</c:v>
                </c:pt>
                <c:pt idx="103">
                  <c:v>40543</c:v>
                </c:pt>
                <c:pt idx="104">
                  <c:v>40633</c:v>
                </c:pt>
                <c:pt idx="105">
                  <c:v>40724</c:v>
                </c:pt>
                <c:pt idx="106">
                  <c:v>40816</c:v>
                </c:pt>
                <c:pt idx="107">
                  <c:v>40908</c:v>
                </c:pt>
                <c:pt idx="108">
                  <c:v>40999</c:v>
                </c:pt>
                <c:pt idx="109">
                  <c:v>41090</c:v>
                </c:pt>
                <c:pt idx="110">
                  <c:v>41182</c:v>
                </c:pt>
                <c:pt idx="111">
                  <c:v>41274</c:v>
                </c:pt>
                <c:pt idx="112">
                  <c:v>41364</c:v>
                </c:pt>
                <c:pt idx="113">
                  <c:v>41455</c:v>
                </c:pt>
                <c:pt idx="114">
                  <c:v>41547</c:v>
                </c:pt>
                <c:pt idx="115">
                  <c:v>41639</c:v>
                </c:pt>
                <c:pt idx="116">
                  <c:v>41729</c:v>
                </c:pt>
                <c:pt idx="117">
                  <c:v>41820</c:v>
                </c:pt>
                <c:pt idx="118">
                  <c:v>41912</c:v>
                </c:pt>
                <c:pt idx="119">
                  <c:v>42004</c:v>
                </c:pt>
                <c:pt idx="120">
                  <c:v>42094</c:v>
                </c:pt>
                <c:pt idx="121">
                  <c:v>42185</c:v>
                </c:pt>
                <c:pt idx="122">
                  <c:v>42277</c:v>
                </c:pt>
                <c:pt idx="123">
                  <c:v>42369</c:v>
                </c:pt>
                <c:pt idx="124">
                  <c:v>42460</c:v>
                </c:pt>
                <c:pt idx="125">
                  <c:v>42551</c:v>
                </c:pt>
                <c:pt idx="126">
                  <c:v>42643</c:v>
                </c:pt>
                <c:pt idx="127">
                  <c:v>42735</c:v>
                </c:pt>
                <c:pt idx="128">
                  <c:v>42825</c:v>
                </c:pt>
                <c:pt idx="129">
                  <c:v>42916</c:v>
                </c:pt>
                <c:pt idx="130">
                  <c:v>43008</c:v>
                </c:pt>
              </c:numCache>
            </c:numRef>
          </c:cat>
          <c:val>
            <c:numRef>
              <c:f>'Graf 22'!$C$7:$C$137</c:f>
              <c:numCache>
                <c:formatCode>0.00</c:formatCode>
                <c:ptCount val="131"/>
                <c:pt idx="0">
                  <c:v>1.68154912724418</c:v>
                </c:pt>
                <c:pt idx="1">
                  <c:v>1.75396399924256</c:v>
                </c:pt>
                <c:pt idx="2">
                  <c:v>1.4579586288233599</c:v>
                </c:pt>
                <c:pt idx="3">
                  <c:v>1.4447075386019701</c:v>
                </c:pt>
                <c:pt idx="4">
                  <c:v>1.01748183952788</c:v>
                </c:pt>
                <c:pt idx="5">
                  <c:v>1.1546144663259701</c:v>
                </c:pt>
                <c:pt idx="6">
                  <c:v>1.1109179984174999</c:v>
                </c:pt>
                <c:pt idx="7">
                  <c:v>0.98808457410834205</c:v>
                </c:pt>
                <c:pt idx="8">
                  <c:v>0.98190902819551396</c:v>
                </c:pt>
                <c:pt idx="9">
                  <c:v>1.3247251799895099</c:v>
                </c:pt>
                <c:pt idx="10">
                  <c:v>1.4617483754584799</c:v>
                </c:pt>
                <c:pt idx="11">
                  <c:v>1.5321081795373701</c:v>
                </c:pt>
                <c:pt idx="12">
                  <c:v>1.4718941325230701</c:v>
                </c:pt>
                <c:pt idx="13">
                  <c:v>1.5519702649421501</c:v>
                </c:pt>
                <c:pt idx="14">
                  <c:v>1.7551865234669699</c:v>
                </c:pt>
                <c:pt idx="15">
                  <c:v>1.8706791944874099</c:v>
                </c:pt>
                <c:pt idx="16">
                  <c:v>2.04348930107576</c:v>
                </c:pt>
                <c:pt idx="17">
                  <c:v>2.15469776069795</c:v>
                </c:pt>
                <c:pt idx="18">
                  <c:v>2.1161475632347702</c:v>
                </c:pt>
                <c:pt idx="19">
                  <c:v>2.2776755688804702</c:v>
                </c:pt>
                <c:pt idx="20">
                  <c:v>2.49885597559626</c:v>
                </c:pt>
                <c:pt idx="21">
                  <c:v>2.3928677841830299</c:v>
                </c:pt>
                <c:pt idx="22">
                  <c:v>2.46223225269443</c:v>
                </c:pt>
                <c:pt idx="23">
                  <c:v>2.5700897375461902</c:v>
                </c:pt>
                <c:pt idx="24">
                  <c:v>2.6546374070204899</c:v>
                </c:pt>
                <c:pt idx="25">
                  <c:v>2.72592905760825</c:v>
                </c:pt>
                <c:pt idx="26">
                  <c:v>2.78120979819457</c:v>
                </c:pt>
                <c:pt idx="27">
                  <c:v>2.8505344409453701</c:v>
                </c:pt>
                <c:pt idx="28">
                  <c:v>2.9989192906857798</c:v>
                </c:pt>
                <c:pt idx="29">
                  <c:v>2.6293124120699698</c:v>
                </c:pt>
                <c:pt idx="30">
                  <c:v>2.4165790022948102</c:v>
                </c:pt>
                <c:pt idx="31">
                  <c:v>2.3809781961261201</c:v>
                </c:pt>
                <c:pt idx="32">
                  <c:v>2.3396328596518998</c:v>
                </c:pt>
                <c:pt idx="33">
                  <c:v>2.3365769172795301</c:v>
                </c:pt>
                <c:pt idx="34">
                  <c:v>2.3937368745089298</c:v>
                </c:pt>
                <c:pt idx="35">
                  <c:v>2.3108893517812898</c:v>
                </c:pt>
                <c:pt idx="36">
                  <c:v>2.28561814099334</c:v>
                </c:pt>
                <c:pt idx="37">
                  <c:v>2.2951891690603099</c:v>
                </c:pt>
                <c:pt idx="38">
                  <c:v>2.37085551717729</c:v>
                </c:pt>
                <c:pt idx="39">
                  <c:v>2.3681654118898199</c:v>
                </c:pt>
                <c:pt idx="40">
                  <c:v>2.2988582676234302</c:v>
                </c:pt>
                <c:pt idx="41">
                  <c:v>2.26712026938322</c:v>
                </c:pt>
                <c:pt idx="42">
                  <c:v>2.2004392572762499</c:v>
                </c:pt>
                <c:pt idx="43">
                  <c:v>2.1163279987430901</c:v>
                </c:pt>
                <c:pt idx="44">
                  <c:v>2.0724061498793298</c:v>
                </c:pt>
                <c:pt idx="45">
                  <c:v>2.0884884772846002</c:v>
                </c:pt>
                <c:pt idx="46">
                  <c:v>1.90936693624041</c:v>
                </c:pt>
                <c:pt idx="47">
                  <c:v>1.8394583289413899</c:v>
                </c:pt>
                <c:pt idx="48">
                  <c:v>1.7980805854184101</c:v>
                </c:pt>
                <c:pt idx="49">
                  <c:v>1.9130088131779901</c:v>
                </c:pt>
                <c:pt idx="50">
                  <c:v>1.9995462457014199</c:v>
                </c:pt>
                <c:pt idx="51">
                  <c:v>2.09539147886285</c:v>
                </c:pt>
                <c:pt idx="52">
                  <c:v>1.99565427799349</c:v>
                </c:pt>
                <c:pt idx="53">
                  <c:v>2.0221756397812798</c:v>
                </c:pt>
                <c:pt idx="54">
                  <c:v>1.97549249282933</c:v>
                </c:pt>
                <c:pt idx="55">
                  <c:v>1.75694809976005</c:v>
                </c:pt>
                <c:pt idx="56">
                  <c:v>1.8079477702842299</c:v>
                </c:pt>
                <c:pt idx="57">
                  <c:v>1.7263148527918499</c:v>
                </c:pt>
                <c:pt idx="58">
                  <c:v>1.8267704157689999</c:v>
                </c:pt>
                <c:pt idx="59">
                  <c:v>2.0109610739625499</c:v>
                </c:pt>
                <c:pt idx="60">
                  <c:v>2.0320727683528399</c:v>
                </c:pt>
                <c:pt idx="61">
                  <c:v>2.0206030005958899</c:v>
                </c:pt>
                <c:pt idx="62">
                  <c:v>2.2199721904469301</c:v>
                </c:pt>
                <c:pt idx="63">
                  <c:v>2.35998072670274</c:v>
                </c:pt>
                <c:pt idx="64">
                  <c:v>2.5481907452961501</c:v>
                </c:pt>
                <c:pt idx="65">
                  <c:v>2.7387533487736699</c:v>
                </c:pt>
                <c:pt idx="66">
                  <c:v>2.5561830846075599</c:v>
                </c:pt>
                <c:pt idx="67">
                  <c:v>2.5321803462333898</c:v>
                </c:pt>
                <c:pt idx="68">
                  <c:v>2.5399121940171301</c:v>
                </c:pt>
                <c:pt idx="69">
                  <c:v>2.3115865336099199</c:v>
                </c:pt>
                <c:pt idx="70">
                  <c:v>2.1988890383323101</c:v>
                </c:pt>
                <c:pt idx="71">
                  <c:v>2.10738829330842</c:v>
                </c:pt>
                <c:pt idx="72">
                  <c:v>1.9236271794762501</c:v>
                </c:pt>
                <c:pt idx="73">
                  <c:v>1.90993624802997</c:v>
                </c:pt>
                <c:pt idx="74">
                  <c:v>1.98272033858479</c:v>
                </c:pt>
                <c:pt idx="75">
                  <c:v>2.0333667994382898</c:v>
                </c:pt>
                <c:pt idx="76">
                  <c:v>1.9992944478738699</c:v>
                </c:pt>
                <c:pt idx="77">
                  <c:v>1.96019846650672</c:v>
                </c:pt>
                <c:pt idx="78">
                  <c:v>1.76705093863714</c:v>
                </c:pt>
                <c:pt idx="79">
                  <c:v>1.6215134535912299</c:v>
                </c:pt>
                <c:pt idx="80">
                  <c:v>1.51563446309501</c:v>
                </c:pt>
                <c:pt idx="81">
                  <c:v>1.5355387933487601</c:v>
                </c:pt>
                <c:pt idx="82">
                  <c:v>1.58733193536579</c:v>
                </c:pt>
                <c:pt idx="83">
                  <c:v>1.6271317737869699</c:v>
                </c:pt>
                <c:pt idx="84">
                  <c:v>1.66374094506059</c:v>
                </c:pt>
                <c:pt idx="85">
                  <c:v>1.86181783084907</c:v>
                </c:pt>
                <c:pt idx="86">
                  <c:v>1.91703566294643</c:v>
                </c:pt>
                <c:pt idx="87">
                  <c:v>2.0001374464901698</c:v>
                </c:pt>
                <c:pt idx="88">
                  <c:v>2.0228233953177002</c:v>
                </c:pt>
                <c:pt idx="89">
                  <c:v>2.0389811640214899</c:v>
                </c:pt>
                <c:pt idx="90">
                  <c:v>2.0475675225734702</c:v>
                </c:pt>
                <c:pt idx="91">
                  <c:v>2.2658077398774901</c:v>
                </c:pt>
                <c:pt idx="92">
                  <c:v>2.3396735367627999</c:v>
                </c:pt>
                <c:pt idx="93">
                  <c:v>1.98646607135161</c:v>
                </c:pt>
                <c:pt idx="94">
                  <c:v>1.7679277803904001</c:v>
                </c:pt>
                <c:pt idx="95">
                  <c:v>1.1813357499446999</c:v>
                </c:pt>
                <c:pt idx="96">
                  <c:v>0.37442268819931601</c:v>
                </c:pt>
                <c:pt idx="97">
                  <c:v>0.41506058245044303</c:v>
                </c:pt>
                <c:pt idx="98">
                  <c:v>0.51219332945749296</c:v>
                </c:pt>
                <c:pt idx="99">
                  <c:v>0.62478593500919399</c:v>
                </c:pt>
                <c:pt idx="100">
                  <c:v>0.65716045571815795</c:v>
                </c:pt>
                <c:pt idx="101">
                  <c:v>0.84290549352065303</c:v>
                </c:pt>
                <c:pt idx="102">
                  <c:v>0.90968435112839097</c:v>
                </c:pt>
                <c:pt idx="103">
                  <c:v>0.88612295742402603</c:v>
                </c:pt>
                <c:pt idx="104">
                  <c:v>1.04226642111097</c:v>
                </c:pt>
                <c:pt idx="105">
                  <c:v>1.0054526809595601</c:v>
                </c:pt>
                <c:pt idx="106">
                  <c:v>0.82969032185253699</c:v>
                </c:pt>
                <c:pt idx="107">
                  <c:v>0.76190851288932604</c:v>
                </c:pt>
                <c:pt idx="108">
                  <c:v>0.66046540903032402</c:v>
                </c:pt>
                <c:pt idx="109">
                  <c:v>0.51039907340687096</c:v>
                </c:pt>
                <c:pt idx="110">
                  <c:v>0.40366003975592701</c:v>
                </c:pt>
                <c:pt idx="111">
                  <c:v>0.31871286329545401</c:v>
                </c:pt>
                <c:pt idx="112">
                  <c:v>0.102944521687691</c:v>
                </c:pt>
                <c:pt idx="113">
                  <c:v>0.141366586694507</c:v>
                </c:pt>
                <c:pt idx="114">
                  <c:v>3.6869790909187503E-2</c:v>
                </c:pt>
                <c:pt idx="115">
                  <c:v>-0.13098083164261001</c:v>
                </c:pt>
                <c:pt idx="116">
                  <c:v>-0.132653809599798</c:v>
                </c:pt>
                <c:pt idx="117">
                  <c:v>-0.306131070246832</c:v>
                </c:pt>
                <c:pt idx="118">
                  <c:v>-0.277453566021022</c:v>
                </c:pt>
                <c:pt idx="119">
                  <c:v>-0.20102655642742501</c:v>
                </c:pt>
                <c:pt idx="120">
                  <c:v>-6.2936313090145704E-2</c:v>
                </c:pt>
                <c:pt idx="121">
                  <c:v>-1.7968473057555601E-2</c:v>
                </c:pt>
                <c:pt idx="122">
                  <c:v>-9.1096799522763002E-3</c:v>
                </c:pt>
                <c:pt idx="123">
                  <c:v>-1.5604179835060399E-4</c:v>
                </c:pt>
                <c:pt idx="124">
                  <c:v>-0.137998606129698</c:v>
                </c:pt>
                <c:pt idx="125">
                  <c:v>-9.9536553689564697E-2</c:v>
                </c:pt>
                <c:pt idx="126">
                  <c:v>-2.92746518962348E-2</c:v>
                </c:pt>
                <c:pt idx="127">
                  <c:v>-1.81503438834314E-2</c:v>
                </c:pt>
                <c:pt idx="128">
                  <c:v>0.13329066311121701</c:v>
                </c:pt>
                <c:pt idx="129">
                  <c:v>0.181169398635535</c:v>
                </c:pt>
                <c:pt idx="130">
                  <c:v>0.21019180189617201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3-467A-B24E-9598A5B4FBFD}"/>
            </c:ext>
          </c:extLst>
        </c:ser>
        <c:ser>
          <c:idx val="1"/>
          <c:order val="1"/>
          <c:tx>
            <c:strRef>
              <c:f>'Graf 22'!$D$5</c:f>
              <c:strCache>
                <c:ptCount val="1"/>
                <c:pt idx="0">
                  <c:v>Dlhodobé inflačné očakávania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22'!$B$7:$B$137</c:f>
              <c:numCache>
                <c:formatCode>m/d/yyyy</c:formatCode>
                <c:ptCount val="131"/>
                <c:pt idx="0">
                  <c:v>31137</c:v>
                </c:pt>
                <c:pt idx="1">
                  <c:v>31228</c:v>
                </c:pt>
                <c:pt idx="2">
                  <c:v>31320</c:v>
                </c:pt>
                <c:pt idx="3">
                  <c:v>31412</c:v>
                </c:pt>
                <c:pt idx="4">
                  <c:v>31502</c:v>
                </c:pt>
                <c:pt idx="5">
                  <c:v>31593</c:v>
                </c:pt>
                <c:pt idx="6">
                  <c:v>31685</c:v>
                </c:pt>
                <c:pt idx="7">
                  <c:v>31777</c:v>
                </c:pt>
                <c:pt idx="8">
                  <c:v>31867</c:v>
                </c:pt>
                <c:pt idx="9">
                  <c:v>31958</c:v>
                </c:pt>
                <c:pt idx="10">
                  <c:v>32050</c:v>
                </c:pt>
                <c:pt idx="11">
                  <c:v>32142</c:v>
                </c:pt>
                <c:pt idx="12">
                  <c:v>32233</c:v>
                </c:pt>
                <c:pt idx="13">
                  <c:v>32324</c:v>
                </c:pt>
                <c:pt idx="14">
                  <c:v>32416</c:v>
                </c:pt>
                <c:pt idx="15">
                  <c:v>32508</c:v>
                </c:pt>
                <c:pt idx="16">
                  <c:v>32598</c:v>
                </c:pt>
                <c:pt idx="17">
                  <c:v>32689</c:v>
                </c:pt>
                <c:pt idx="18">
                  <c:v>32781</c:v>
                </c:pt>
                <c:pt idx="19">
                  <c:v>32873</c:v>
                </c:pt>
                <c:pt idx="20">
                  <c:v>32963</c:v>
                </c:pt>
                <c:pt idx="21">
                  <c:v>33054</c:v>
                </c:pt>
                <c:pt idx="22">
                  <c:v>33146</c:v>
                </c:pt>
                <c:pt idx="23">
                  <c:v>33238</c:v>
                </c:pt>
                <c:pt idx="24">
                  <c:v>33328</c:v>
                </c:pt>
                <c:pt idx="25">
                  <c:v>33419</c:v>
                </c:pt>
                <c:pt idx="26">
                  <c:v>33511</c:v>
                </c:pt>
                <c:pt idx="27">
                  <c:v>33603</c:v>
                </c:pt>
                <c:pt idx="28">
                  <c:v>33694</c:v>
                </c:pt>
                <c:pt idx="29">
                  <c:v>33785</c:v>
                </c:pt>
                <c:pt idx="30">
                  <c:v>33877</c:v>
                </c:pt>
                <c:pt idx="31">
                  <c:v>33969</c:v>
                </c:pt>
                <c:pt idx="32">
                  <c:v>34059</c:v>
                </c:pt>
                <c:pt idx="33">
                  <c:v>34150</c:v>
                </c:pt>
                <c:pt idx="34">
                  <c:v>34242</c:v>
                </c:pt>
                <c:pt idx="35">
                  <c:v>34334</c:v>
                </c:pt>
                <c:pt idx="36">
                  <c:v>34424</c:v>
                </c:pt>
                <c:pt idx="37">
                  <c:v>34515</c:v>
                </c:pt>
                <c:pt idx="38">
                  <c:v>34607</c:v>
                </c:pt>
                <c:pt idx="39">
                  <c:v>34699</c:v>
                </c:pt>
                <c:pt idx="40">
                  <c:v>34789</c:v>
                </c:pt>
                <c:pt idx="41">
                  <c:v>34880</c:v>
                </c:pt>
                <c:pt idx="42">
                  <c:v>34972</c:v>
                </c:pt>
                <c:pt idx="43">
                  <c:v>35064</c:v>
                </c:pt>
                <c:pt idx="44">
                  <c:v>35155</c:v>
                </c:pt>
                <c:pt idx="45">
                  <c:v>35246</c:v>
                </c:pt>
                <c:pt idx="46">
                  <c:v>35338</c:v>
                </c:pt>
                <c:pt idx="47">
                  <c:v>35430</c:v>
                </c:pt>
                <c:pt idx="48">
                  <c:v>35520</c:v>
                </c:pt>
                <c:pt idx="49">
                  <c:v>35611</c:v>
                </c:pt>
                <c:pt idx="50">
                  <c:v>35703</c:v>
                </c:pt>
                <c:pt idx="51">
                  <c:v>35795</c:v>
                </c:pt>
                <c:pt idx="52">
                  <c:v>35885</c:v>
                </c:pt>
                <c:pt idx="53">
                  <c:v>35976</c:v>
                </c:pt>
                <c:pt idx="54">
                  <c:v>36068</c:v>
                </c:pt>
                <c:pt idx="55">
                  <c:v>36160</c:v>
                </c:pt>
                <c:pt idx="56">
                  <c:v>36250</c:v>
                </c:pt>
                <c:pt idx="57">
                  <c:v>36341</c:v>
                </c:pt>
                <c:pt idx="58">
                  <c:v>36433</c:v>
                </c:pt>
                <c:pt idx="59">
                  <c:v>36525</c:v>
                </c:pt>
                <c:pt idx="60">
                  <c:v>36616</c:v>
                </c:pt>
                <c:pt idx="61">
                  <c:v>36707</c:v>
                </c:pt>
                <c:pt idx="62">
                  <c:v>36799</c:v>
                </c:pt>
                <c:pt idx="63">
                  <c:v>36891</c:v>
                </c:pt>
                <c:pt idx="64">
                  <c:v>36981</c:v>
                </c:pt>
                <c:pt idx="65">
                  <c:v>37072</c:v>
                </c:pt>
                <c:pt idx="66">
                  <c:v>37164</c:v>
                </c:pt>
                <c:pt idx="67">
                  <c:v>37256</c:v>
                </c:pt>
                <c:pt idx="68">
                  <c:v>37346</c:v>
                </c:pt>
                <c:pt idx="69">
                  <c:v>37437</c:v>
                </c:pt>
                <c:pt idx="70">
                  <c:v>37529</c:v>
                </c:pt>
                <c:pt idx="71">
                  <c:v>37621</c:v>
                </c:pt>
                <c:pt idx="72">
                  <c:v>37711</c:v>
                </c:pt>
                <c:pt idx="73">
                  <c:v>37802</c:v>
                </c:pt>
                <c:pt idx="74">
                  <c:v>37894</c:v>
                </c:pt>
                <c:pt idx="75">
                  <c:v>37986</c:v>
                </c:pt>
                <c:pt idx="76">
                  <c:v>38077</c:v>
                </c:pt>
                <c:pt idx="77">
                  <c:v>38168</c:v>
                </c:pt>
                <c:pt idx="78">
                  <c:v>38260</c:v>
                </c:pt>
                <c:pt idx="79">
                  <c:v>38352</c:v>
                </c:pt>
                <c:pt idx="80">
                  <c:v>38442</c:v>
                </c:pt>
                <c:pt idx="81">
                  <c:v>38533</c:v>
                </c:pt>
                <c:pt idx="82">
                  <c:v>38625</c:v>
                </c:pt>
                <c:pt idx="83">
                  <c:v>38717</c:v>
                </c:pt>
                <c:pt idx="84">
                  <c:v>38807</c:v>
                </c:pt>
                <c:pt idx="85">
                  <c:v>38898</c:v>
                </c:pt>
                <c:pt idx="86">
                  <c:v>38990</c:v>
                </c:pt>
                <c:pt idx="87">
                  <c:v>39082</c:v>
                </c:pt>
                <c:pt idx="88">
                  <c:v>39172</c:v>
                </c:pt>
                <c:pt idx="89">
                  <c:v>39263</c:v>
                </c:pt>
                <c:pt idx="90">
                  <c:v>39355</c:v>
                </c:pt>
                <c:pt idx="91">
                  <c:v>39447</c:v>
                </c:pt>
                <c:pt idx="92">
                  <c:v>39538</c:v>
                </c:pt>
                <c:pt idx="93">
                  <c:v>39629</c:v>
                </c:pt>
                <c:pt idx="94">
                  <c:v>39721</c:v>
                </c:pt>
                <c:pt idx="95">
                  <c:v>39813</c:v>
                </c:pt>
                <c:pt idx="96">
                  <c:v>39903</c:v>
                </c:pt>
                <c:pt idx="97">
                  <c:v>39994</c:v>
                </c:pt>
                <c:pt idx="98">
                  <c:v>40086</c:v>
                </c:pt>
                <c:pt idx="99">
                  <c:v>40178</c:v>
                </c:pt>
                <c:pt idx="100">
                  <c:v>40268</c:v>
                </c:pt>
                <c:pt idx="101">
                  <c:v>40359</c:v>
                </c:pt>
                <c:pt idx="102">
                  <c:v>40451</c:v>
                </c:pt>
                <c:pt idx="103">
                  <c:v>40543</c:v>
                </c:pt>
                <c:pt idx="104">
                  <c:v>40633</c:v>
                </c:pt>
                <c:pt idx="105">
                  <c:v>40724</c:v>
                </c:pt>
                <c:pt idx="106">
                  <c:v>40816</c:v>
                </c:pt>
                <c:pt idx="107">
                  <c:v>40908</c:v>
                </c:pt>
                <c:pt idx="108">
                  <c:v>40999</c:v>
                </c:pt>
                <c:pt idx="109">
                  <c:v>41090</c:v>
                </c:pt>
                <c:pt idx="110">
                  <c:v>41182</c:v>
                </c:pt>
                <c:pt idx="111">
                  <c:v>41274</c:v>
                </c:pt>
                <c:pt idx="112">
                  <c:v>41364</c:v>
                </c:pt>
                <c:pt idx="113">
                  <c:v>41455</c:v>
                </c:pt>
                <c:pt idx="114">
                  <c:v>41547</c:v>
                </c:pt>
                <c:pt idx="115">
                  <c:v>41639</c:v>
                </c:pt>
                <c:pt idx="116">
                  <c:v>41729</c:v>
                </c:pt>
                <c:pt idx="117">
                  <c:v>41820</c:v>
                </c:pt>
                <c:pt idx="118">
                  <c:v>41912</c:v>
                </c:pt>
                <c:pt idx="119">
                  <c:v>42004</c:v>
                </c:pt>
                <c:pt idx="120">
                  <c:v>42094</c:v>
                </c:pt>
                <c:pt idx="121">
                  <c:v>42185</c:v>
                </c:pt>
                <c:pt idx="122">
                  <c:v>42277</c:v>
                </c:pt>
                <c:pt idx="123">
                  <c:v>42369</c:v>
                </c:pt>
                <c:pt idx="124">
                  <c:v>42460</c:v>
                </c:pt>
                <c:pt idx="125">
                  <c:v>42551</c:v>
                </c:pt>
                <c:pt idx="126">
                  <c:v>42643</c:v>
                </c:pt>
                <c:pt idx="127">
                  <c:v>42735</c:v>
                </c:pt>
                <c:pt idx="128">
                  <c:v>42825</c:v>
                </c:pt>
                <c:pt idx="129">
                  <c:v>42916</c:v>
                </c:pt>
                <c:pt idx="130">
                  <c:v>43008</c:v>
                </c:pt>
              </c:numCache>
            </c:numRef>
          </c:cat>
          <c:val>
            <c:numRef>
              <c:f>'Graf 22'!$D$7:$D$137</c:f>
              <c:numCache>
                <c:formatCode>0.00</c:formatCode>
                <c:ptCount val="131"/>
                <c:pt idx="0">
                  <c:v>7.8135206996367996</c:v>
                </c:pt>
                <c:pt idx="1">
                  <c:v>7.65922812217278</c:v>
                </c:pt>
                <c:pt idx="2">
                  <c:v>7.3785056562235196</c:v>
                </c:pt>
                <c:pt idx="3">
                  <c:v>7.1292578031976896</c:v>
                </c:pt>
                <c:pt idx="4">
                  <c:v>6.80939629101647</c:v>
                </c:pt>
                <c:pt idx="5">
                  <c:v>6.4719473232223397</c:v>
                </c:pt>
                <c:pt idx="6">
                  <c:v>6.1604813163734002</c:v>
                </c:pt>
                <c:pt idx="7">
                  <c:v>5.8404943662865501</c:v>
                </c:pt>
                <c:pt idx="8">
                  <c:v>5.5788253400514503</c:v>
                </c:pt>
                <c:pt idx="9">
                  <c:v>5.3198973404560901</c:v>
                </c:pt>
                <c:pt idx="10">
                  <c:v>5.0614954805690298</c:v>
                </c:pt>
                <c:pt idx="11">
                  <c:v>4.8222089717725396</c:v>
                </c:pt>
                <c:pt idx="12">
                  <c:v>4.5924482164694203</c:v>
                </c:pt>
                <c:pt idx="13">
                  <c:v>4.3802240061237603</c:v>
                </c:pt>
                <c:pt idx="14">
                  <c:v>4.1897342314181598</c:v>
                </c:pt>
                <c:pt idx="15">
                  <c:v>4.0467552893081002</c:v>
                </c:pt>
                <c:pt idx="16">
                  <c:v>3.91942263058887</c:v>
                </c:pt>
                <c:pt idx="17">
                  <c:v>3.8127096785238299</c:v>
                </c:pt>
                <c:pt idx="18">
                  <c:v>3.7208749101490102</c:v>
                </c:pt>
                <c:pt idx="19">
                  <c:v>3.6464413780242699</c:v>
                </c:pt>
                <c:pt idx="20">
                  <c:v>3.6013862562930599</c:v>
                </c:pt>
                <c:pt idx="21">
                  <c:v>3.53936174015635</c:v>
                </c:pt>
                <c:pt idx="22">
                  <c:v>3.4833675300913902</c:v>
                </c:pt>
                <c:pt idx="23">
                  <c:v>3.4705548990564501</c:v>
                </c:pt>
                <c:pt idx="24">
                  <c:v>3.4511359642133801</c:v>
                </c:pt>
                <c:pt idx="25">
                  <c:v>3.4627689245233002</c:v>
                </c:pt>
                <c:pt idx="26">
                  <c:v>3.51609150080577</c:v>
                </c:pt>
                <c:pt idx="27">
                  <c:v>3.53581278409948</c:v>
                </c:pt>
                <c:pt idx="28">
                  <c:v>3.53977948515077</c:v>
                </c:pt>
                <c:pt idx="29">
                  <c:v>3.5319472761472799</c:v>
                </c:pt>
                <c:pt idx="30">
                  <c:v>3.4852473802308799</c:v>
                </c:pt>
                <c:pt idx="31">
                  <c:v>3.45503563216726</c:v>
                </c:pt>
                <c:pt idx="32">
                  <c:v>3.4870507162423099</c:v>
                </c:pt>
                <c:pt idx="33">
                  <c:v>3.4791817737710198</c:v>
                </c:pt>
                <c:pt idx="34">
                  <c:v>3.4818524783654499</c:v>
                </c:pt>
                <c:pt idx="35">
                  <c:v>3.4730357813970798</c:v>
                </c:pt>
                <c:pt idx="36">
                  <c:v>3.4232711369973501</c:v>
                </c:pt>
                <c:pt idx="37">
                  <c:v>3.3959702960869702</c:v>
                </c:pt>
                <c:pt idx="38">
                  <c:v>3.3794291020831402</c:v>
                </c:pt>
                <c:pt idx="39">
                  <c:v>3.3504274249043902</c:v>
                </c:pt>
                <c:pt idx="40">
                  <c:v>3.3079047310603</c:v>
                </c:pt>
                <c:pt idx="41">
                  <c:v>3.2670957159972298</c:v>
                </c:pt>
                <c:pt idx="42">
                  <c:v>3.2325554342382001</c:v>
                </c:pt>
                <c:pt idx="43">
                  <c:v>3.1821065789170699</c:v>
                </c:pt>
                <c:pt idx="44">
                  <c:v>3.1353831189792598</c:v>
                </c:pt>
                <c:pt idx="45">
                  <c:v>3.0709570741771199</c:v>
                </c:pt>
                <c:pt idx="46">
                  <c:v>2.95105929651392</c:v>
                </c:pt>
                <c:pt idx="47">
                  <c:v>2.8413681224159899</c:v>
                </c:pt>
                <c:pt idx="48">
                  <c:v>2.7580514379723602</c:v>
                </c:pt>
                <c:pt idx="49">
                  <c:v>2.65182051002785</c:v>
                </c:pt>
                <c:pt idx="50">
                  <c:v>2.57649373016126</c:v>
                </c:pt>
                <c:pt idx="51">
                  <c:v>2.50844938011448</c:v>
                </c:pt>
                <c:pt idx="52">
                  <c:v>2.4255037047010801</c:v>
                </c:pt>
                <c:pt idx="53">
                  <c:v>2.36679115490446</c:v>
                </c:pt>
                <c:pt idx="54">
                  <c:v>2.2934450464290101</c:v>
                </c:pt>
                <c:pt idx="55">
                  <c:v>2.17854613663458</c:v>
                </c:pt>
                <c:pt idx="56">
                  <c:v>2.0606684681260701</c:v>
                </c:pt>
                <c:pt idx="57">
                  <c:v>1.94258910961655</c:v>
                </c:pt>
                <c:pt idx="58">
                  <c:v>1.84228491861703</c:v>
                </c:pt>
                <c:pt idx="59">
                  <c:v>1.7700516739672201</c:v>
                </c:pt>
                <c:pt idx="60">
                  <c:v>1.6953679041929901</c:v>
                </c:pt>
                <c:pt idx="61">
                  <c:v>1.6174005164924601</c:v>
                </c:pt>
                <c:pt idx="62">
                  <c:v>1.6051728068692299</c:v>
                </c:pt>
                <c:pt idx="63">
                  <c:v>1.60978553413256</c:v>
                </c:pt>
                <c:pt idx="64">
                  <c:v>1.6365656895798699</c:v>
                </c:pt>
                <c:pt idx="65">
                  <c:v>1.7311455467766399</c:v>
                </c:pt>
                <c:pt idx="66">
                  <c:v>1.7812558561418901</c:v>
                </c:pt>
                <c:pt idx="67">
                  <c:v>1.82614900416792</c:v>
                </c:pt>
                <c:pt idx="68">
                  <c:v>1.8830239305449299</c:v>
                </c:pt>
                <c:pt idx="69">
                  <c:v>1.8758159294341401</c:v>
                </c:pt>
                <c:pt idx="70">
                  <c:v>1.8628154833391299</c:v>
                </c:pt>
                <c:pt idx="71">
                  <c:v>1.8623961237473401</c:v>
                </c:pt>
                <c:pt idx="72">
                  <c:v>1.8590506735039101</c:v>
                </c:pt>
                <c:pt idx="73">
                  <c:v>1.86734372019223</c:v>
                </c:pt>
                <c:pt idx="74">
                  <c:v>1.87751848145068</c:v>
                </c:pt>
                <c:pt idx="75">
                  <c:v>1.88556232281281</c:v>
                </c:pt>
                <c:pt idx="76">
                  <c:v>1.90197509908305</c:v>
                </c:pt>
                <c:pt idx="77">
                  <c:v>1.9173682093342299</c:v>
                </c:pt>
                <c:pt idx="78">
                  <c:v>1.9013839279381699</c:v>
                </c:pt>
                <c:pt idx="79">
                  <c:v>1.8716170530865399</c:v>
                </c:pt>
                <c:pt idx="80">
                  <c:v>1.8410917865985099</c:v>
                </c:pt>
                <c:pt idx="81">
                  <c:v>1.8085682181917799</c:v>
                </c:pt>
                <c:pt idx="82">
                  <c:v>1.78690880453842</c:v>
                </c:pt>
                <c:pt idx="83">
                  <c:v>1.7719430204353801</c:v>
                </c:pt>
                <c:pt idx="84">
                  <c:v>1.7505416892017001</c:v>
                </c:pt>
                <c:pt idx="85">
                  <c:v>1.7682514277558301</c:v>
                </c:pt>
                <c:pt idx="86">
                  <c:v>1.8009817179902601</c:v>
                </c:pt>
                <c:pt idx="87">
                  <c:v>1.82308180039228</c:v>
                </c:pt>
                <c:pt idx="88">
                  <c:v>1.8483733913004801</c:v>
                </c:pt>
                <c:pt idx="89">
                  <c:v>1.87439497677708</c:v>
                </c:pt>
                <c:pt idx="90">
                  <c:v>1.9091907812231399</c:v>
                </c:pt>
                <c:pt idx="91">
                  <c:v>1.99345844304439</c:v>
                </c:pt>
                <c:pt idx="92">
                  <c:v>2.0597504543180598</c:v>
                </c:pt>
                <c:pt idx="93">
                  <c:v>2.0753751032976901</c:v>
                </c:pt>
                <c:pt idx="94">
                  <c:v>2.0828929075047999</c:v>
                </c:pt>
                <c:pt idx="95">
                  <c:v>2.03953938554241</c:v>
                </c:pt>
                <c:pt idx="96">
                  <c:v>1.9664159532848</c:v>
                </c:pt>
                <c:pt idx="97">
                  <c:v>1.87340366424252</c:v>
                </c:pt>
                <c:pt idx="98">
                  <c:v>1.77968342061931</c:v>
                </c:pt>
                <c:pt idx="99">
                  <c:v>1.71506889188487</c:v>
                </c:pt>
                <c:pt idx="100">
                  <c:v>1.6623872911361599</c:v>
                </c:pt>
                <c:pt idx="101">
                  <c:v>1.62575532718894</c:v>
                </c:pt>
                <c:pt idx="102">
                  <c:v>1.6160968518869601</c:v>
                </c:pt>
                <c:pt idx="103">
                  <c:v>1.59102011814952</c:v>
                </c:pt>
                <c:pt idx="104">
                  <c:v>1.5906562874710699</c:v>
                </c:pt>
                <c:pt idx="105">
                  <c:v>1.6180759533053799</c:v>
                </c:pt>
                <c:pt idx="106">
                  <c:v>1.61760814019303</c:v>
                </c:pt>
                <c:pt idx="107">
                  <c:v>1.63941608142674</c:v>
                </c:pt>
                <c:pt idx="108">
                  <c:v>1.6549670874122699</c:v>
                </c:pt>
                <c:pt idx="109">
                  <c:v>1.6685582248303401</c:v>
                </c:pt>
                <c:pt idx="110">
                  <c:v>1.6705715198065001</c:v>
                </c:pt>
                <c:pt idx="111">
                  <c:v>1.6905333052296401</c:v>
                </c:pt>
                <c:pt idx="112">
                  <c:v>1.6779357072346399</c:v>
                </c:pt>
                <c:pt idx="113">
                  <c:v>1.6558812330255901</c:v>
                </c:pt>
                <c:pt idx="114">
                  <c:v>1.6177873905832401</c:v>
                </c:pt>
                <c:pt idx="115">
                  <c:v>1.55260109196822</c:v>
                </c:pt>
                <c:pt idx="116">
                  <c:v>1.49481791197942</c:v>
                </c:pt>
                <c:pt idx="117">
                  <c:v>1.4211750543745001</c:v>
                </c:pt>
                <c:pt idx="118">
                  <c:v>1.3558257046514</c:v>
                </c:pt>
                <c:pt idx="119">
                  <c:v>1.3048975343045599</c:v>
                </c:pt>
                <c:pt idx="120">
                  <c:v>1.26657208106592</c:v>
                </c:pt>
                <c:pt idx="121">
                  <c:v>1.2361338523910601</c:v>
                </c:pt>
                <c:pt idx="122">
                  <c:v>1.2005872180825701</c:v>
                </c:pt>
                <c:pt idx="123">
                  <c:v>1.17480624213809</c:v>
                </c:pt>
                <c:pt idx="124">
                  <c:v>1.11501784028498</c:v>
                </c:pt>
                <c:pt idx="125">
                  <c:v>1.0920872988826</c:v>
                </c:pt>
                <c:pt idx="126">
                  <c:v>1.09480504846288</c:v>
                </c:pt>
                <c:pt idx="127">
                  <c:v>1.0863198342128999</c:v>
                </c:pt>
                <c:pt idx="128">
                  <c:v>1.1067411182940601</c:v>
                </c:pt>
                <c:pt idx="129">
                  <c:v>1.12040965520806</c:v>
                </c:pt>
                <c:pt idx="130">
                  <c:v>1.1341737843823401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3-467A-B24E-9598A5B4FBFD}"/>
            </c:ext>
          </c:extLst>
        </c:ser>
        <c:ser>
          <c:idx val="2"/>
          <c:order val="2"/>
          <c:tx>
            <c:strRef>
              <c:f>'Graf 22'!$E$5</c:f>
              <c:strCache>
                <c:ptCount val="1"/>
                <c:pt idx="0">
                  <c:v>10-ročný výnos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22'!$B$7:$B$137</c:f>
              <c:numCache>
                <c:formatCode>m/d/yyyy</c:formatCode>
                <c:ptCount val="131"/>
                <c:pt idx="0">
                  <c:v>31137</c:v>
                </c:pt>
                <c:pt idx="1">
                  <c:v>31228</c:v>
                </c:pt>
                <c:pt idx="2">
                  <c:v>31320</c:v>
                </c:pt>
                <c:pt idx="3">
                  <c:v>31412</c:v>
                </c:pt>
                <c:pt idx="4">
                  <c:v>31502</c:v>
                </c:pt>
                <c:pt idx="5">
                  <c:v>31593</c:v>
                </c:pt>
                <c:pt idx="6">
                  <c:v>31685</c:v>
                </c:pt>
                <c:pt idx="7">
                  <c:v>31777</c:v>
                </c:pt>
                <c:pt idx="8">
                  <c:v>31867</c:v>
                </c:pt>
                <c:pt idx="9">
                  <c:v>31958</c:v>
                </c:pt>
                <c:pt idx="10">
                  <c:v>32050</c:v>
                </c:pt>
                <c:pt idx="11">
                  <c:v>32142</c:v>
                </c:pt>
                <c:pt idx="12">
                  <c:v>32233</c:v>
                </c:pt>
                <c:pt idx="13">
                  <c:v>32324</c:v>
                </c:pt>
                <c:pt idx="14">
                  <c:v>32416</c:v>
                </c:pt>
                <c:pt idx="15">
                  <c:v>32508</c:v>
                </c:pt>
                <c:pt idx="16">
                  <c:v>32598</c:v>
                </c:pt>
                <c:pt idx="17">
                  <c:v>32689</c:v>
                </c:pt>
                <c:pt idx="18">
                  <c:v>32781</c:v>
                </c:pt>
                <c:pt idx="19">
                  <c:v>32873</c:v>
                </c:pt>
                <c:pt idx="20">
                  <c:v>32963</c:v>
                </c:pt>
                <c:pt idx="21">
                  <c:v>33054</c:v>
                </c:pt>
                <c:pt idx="22">
                  <c:v>33146</c:v>
                </c:pt>
                <c:pt idx="23">
                  <c:v>33238</c:v>
                </c:pt>
                <c:pt idx="24">
                  <c:v>33328</c:v>
                </c:pt>
                <c:pt idx="25">
                  <c:v>33419</c:v>
                </c:pt>
                <c:pt idx="26">
                  <c:v>33511</c:v>
                </c:pt>
                <c:pt idx="27">
                  <c:v>33603</c:v>
                </c:pt>
                <c:pt idx="28">
                  <c:v>33694</c:v>
                </c:pt>
                <c:pt idx="29">
                  <c:v>33785</c:v>
                </c:pt>
                <c:pt idx="30">
                  <c:v>33877</c:v>
                </c:pt>
                <c:pt idx="31">
                  <c:v>33969</c:v>
                </c:pt>
                <c:pt idx="32">
                  <c:v>34059</c:v>
                </c:pt>
                <c:pt idx="33">
                  <c:v>34150</c:v>
                </c:pt>
                <c:pt idx="34">
                  <c:v>34242</c:v>
                </c:pt>
                <c:pt idx="35">
                  <c:v>34334</c:v>
                </c:pt>
                <c:pt idx="36">
                  <c:v>34424</c:v>
                </c:pt>
                <c:pt idx="37">
                  <c:v>34515</c:v>
                </c:pt>
                <c:pt idx="38">
                  <c:v>34607</c:v>
                </c:pt>
                <c:pt idx="39">
                  <c:v>34699</c:v>
                </c:pt>
                <c:pt idx="40">
                  <c:v>34789</c:v>
                </c:pt>
                <c:pt idx="41">
                  <c:v>34880</c:v>
                </c:pt>
                <c:pt idx="42">
                  <c:v>34972</c:v>
                </c:pt>
                <c:pt idx="43">
                  <c:v>35064</c:v>
                </c:pt>
                <c:pt idx="44">
                  <c:v>35155</c:v>
                </c:pt>
                <c:pt idx="45">
                  <c:v>35246</c:v>
                </c:pt>
                <c:pt idx="46">
                  <c:v>35338</c:v>
                </c:pt>
                <c:pt idx="47">
                  <c:v>35430</c:v>
                </c:pt>
                <c:pt idx="48">
                  <c:v>35520</c:v>
                </c:pt>
                <c:pt idx="49">
                  <c:v>35611</c:v>
                </c:pt>
                <c:pt idx="50">
                  <c:v>35703</c:v>
                </c:pt>
                <c:pt idx="51">
                  <c:v>35795</c:v>
                </c:pt>
                <c:pt idx="52">
                  <c:v>35885</c:v>
                </c:pt>
                <c:pt idx="53">
                  <c:v>35976</c:v>
                </c:pt>
                <c:pt idx="54">
                  <c:v>36068</c:v>
                </c:pt>
                <c:pt idx="55">
                  <c:v>36160</c:v>
                </c:pt>
                <c:pt idx="56">
                  <c:v>36250</c:v>
                </c:pt>
                <c:pt idx="57">
                  <c:v>36341</c:v>
                </c:pt>
                <c:pt idx="58">
                  <c:v>36433</c:v>
                </c:pt>
                <c:pt idx="59">
                  <c:v>36525</c:v>
                </c:pt>
                <c:pt idx="60">
                  <c:v>36616</c:v>
                </c:pt>
                <c:pt idx="61">
                  <c:v>36707</c:v>
                </c:pt>
                <c:pt idx="62">
                  <c:v>36799</c:v>
                </c:pt>
                <c:pt idx="63">
                  <c:v>36891</c:v>
                </c:pt>
                <c:pt idx="64">
                  <c:v>36981</c:v>
                </c:pt>
                <c:pt idx="65">
                  <c:v>37072</c:v>
                </c:pt>
                <c:pt idx="66">
                  <c:v>37164</c:v>
                </c:pt>
                <c:pt idx="67">
                  <c:v>37256</c:v>
                </c:pt>
                <c:pt idx="68">
                  <c:v>37346</c:v>
                </c:pt>
                <c:pt idx="69">
                  <c:v>37437</c:v>
                </c:pt>
                <c:pt idx="70">
                  <c:v>37529</c:v>
                </c:pt>
                <c:pt idx="71">
                  <c:v>37621</c:v>
                </c:pt>
                <c:pt idx="72">
                  <c:v>37711</c:v>
                </c:pt>
                <c:pt idx="73">
                  <c:v>37802</c:v>
                </c:pt>
                <c:pt idx="74">
                  <c:v>37894</c:v>
                </c:pt>
                <c:pt idx="75">
                  <c:v>37986</c:v>
                </c:pt>
                <c:pt idx="76">
                  <c:v>38077</c:v>
                </c:pt>
                <c:pt idx="77">
                  <c:v>38168</c:v>
                </c:pt>
                <c:pt idx="78">
                  <c:v>38260</c:v>
                </c:pt>
                <c:pt idx="79">
                  <c:v>38352</c:v>
                </c:pt>
                <c:pt idx="80">
                  <c:v>38442</c:v>
                </c:pt>
                <c:pt idx="81">
                  <c:v>38533</c:v>
                </c:pt>
                <c:pt idx="82">
                  <c:v>38625</c:v>
                </c:pt>
                <c:pt idx="83">
                  <c:v>38717</c:v>
                </c:pt>
                <c:pt idx="84">
                  <c:v>38807</c:v>
                </c:pt>
                <c:pt idx="85">
                  <c:v>38898</c:v>
                </c:pt>
                <c:pt idx="86">
                  <c:v>38990</c:v>
                </c:pt>
                <c:pt idx="87">
                  <c:v>39082</c:v>
                </c:pt>
                <c:pt idx="88">
                  <c:v>39172</c:v>
                </c:pt>
                <c:pt idx="89">
                  <c:v>39263</c:v>
                </c:pt>
                <c:pt idx="90">
                  <c:v>39355</c:v>
                </c:pt>
                <c:pt idx="91">
                  <c:v>39447</c:v>
                </c:pt>
                <c:pt idx="92">
                  <c:v>39538</c:v>
                </c:pt>
                <c:pt idx="93">
                  <c:v>39629</c:v>
                </c:pt>
                <c:pt idx="94">
                  <c:v>39721</c:v>
                </c:pt>
                <c:pt idx="95">
                  <c:v>39813</c:v>
                </c:pt>
                <c:pt idx="96">
                  <c:v>39903</c:v>
                </c:pt>
                <c:pt idx="97">
                  <c:v>39994</c:v>
                </c:pt>
                <c:pt idx="98">
                  <c:v>40086</c:v>
                </c:pt>
                <c:pt idx="99">
                  <c:v>40178</c:v>
                </c:pt>
                <c:pt idx="100">
                  <c:v>40268</c:v>
                </c:pt>
                <c:pt idx="101">
                  <c:v>40359</c:v>
                </c:pt>
                <c:pt idx="102">
                  <c:v>40451</c:v>
                </c:pt>
                <c:pt idx="103">
                  <c:v>40543</c:v>
                </c:pt>
                <c:pt idx="104">
                  <c:v>40633</c:v>
                </c:pt>
                <c:pt idx="105">
                  <c:v>40724</c:v>
                </c:pt>
                <c:pt idx="106">
                  <c:v>40816</c:v>
                </c:pt>
                <c:pt idx="107">
                  <c:v>40908</c:v>
                </c:pt>
                <c:pt idx="108">
                  <c:v>40999</c:v>
                </c:pt>
                <c:pt idx="109">
                  <c:v>41090</c:v>
                </c:pt>
                <c:pt idx="110">
                  <c:v>41182</c:v>
                </c:pt>
                <c:pt idx="111">
                  <c:v>41274</c:v>
                </c:pt>
                <c:pt idx="112">
                  <c:v>41364</c:v>
                </c:pt>
                <c:pt idx="113">
                  <c:v>41455</c:v>
                </c:pt>
                <c:pt idx="114">
                  <c:v>41547</c:v>
                </c:pt>
                <c:pt idx="115">
                  <c:v>41639</c:v>
                </c:pt>
                <c:pt idx="116">
                  <c:v>41729</c:v>
                </c:pt>
                <c:pt idx="117">
                  <c:v>41820</c:v>
                </c:pt>
                <c:pt idx="118">
                  <c:v>41912</c:v>
                </c:pt>
                <c:pt idx="119">
                  <c:v>42004</c:v>
                </c:pt>
                <c:pt idx="120">
                  <c:v>42094</c:v>
                </c:pt>
                <c:pt idx="121">
                  <c:v>42185</c:v>
                </c:pt>
                <c:pt idx="122">
                  <c:v>42277</c:v>
                </c:pt>
                <c:pt idx="123">
                  <c:v>42369</c:v>
                </c:pt>
                <c:pt idx="124">
                  <c:v>42460</c:v>
                </c:pt>
                <c:pt idx="125">
                  <c:v>42551</c:v>
                </c:pt>
                <c:pt idx="126">
                  <c:v>42643</c:v>
                </c:pt>
                <c:pt idx="127">
                  <c:v>42735</c:v>
                </c:pt>
                <c:pt idx="128">
                  <c:v>42825</c:v>
                </c:pt>
                <c:pt idx="129">
                  <c:v>42916</c:v>
                </c:pt>
                <c:pt idx="130">
                  <c:v>43008</c:v>
                </c:pt>
              </c:numCache>
            </c:numRef>
          </c:cat>
          <c:val>
            <c:numRef>
              <c:f>'Graf 22'!$E$7:$E$137</c:f>
              <c:numCache>
                <c:formatCode>0.00</c:formatCode>
                <c:ptCount val="131"/>
                <c:pt idx="0">
                  <c:v>7.51</c:v>
                </c:pt>
                <c:pt idx="1">
                  <c:v>7.17</c:v>
                </c:pt>
                <c:pt idx="2">
                  <c:v>6.71</c:v>
                </c:pt>
                <c:pt idx="3">
                  <c:v>6.69</c:v>
                </c:pt>
                <c:pt idx="4">
                  <c:v>6.02</c:v>
                </c:pt>
                <c:pt idx="5">
                  <c:v>6.15</c:v>
                </c:pt>
                <c:pt idx="6">
                  <c:v>6.3</c:v>
                </c:pt>
                <c:pt idx="7">
                  <c:v>6.24</c:v>
                </c:pt>
                <c:pt idx="8">
                  <c:v>5.99</c:v>
                </c:pt>
                <c:pt idx="9">
                  <c:v>6.48</c:v>
                </c:pt>
                <c:pt idx="10">
                  <c:v>7.15</c:v>
                </c:pt>
                <c:pt idx="11">
                  <c:v>6.81</c:v>
                </c:pt>
                <c:pt idx="12">
                  <c:v>6.6</c:v>
                </c:pt>
                <c:pt idx="13">
                  <c:v>6.97</c:v>
                </c:pt>
                <c:pt idx="14">
                  <c:v>6.78</c:v>
                </c:pt>
                <c:pt idx="15">
                  <c:v>6.75</c:v>
                </c:pt>
                <c:pt idx="16">
                  <c:v>7.04</c:v>
                </c:pt>
                <c:pt idx="17">
                  <c:v>6.85</c:v>
                </c:pt>
                <c:pt idx="18">
                  <c:v>7.02</c:v>
                </c:pt>
                <c:pt idx="19">
                  <c:v>7.38</c:v>
                </c:pt>
                <c:pt idx="20">
                  <c:v>8.5</c:v>
                </c:pt>
                <c:pt idx="21">
                  <c:v>8.7799999999999994</c:v>
                </c:pt>
                <c:pt idx="22">
                  <c:v>9.23</c:v>
                </c:pt>
                <c:pt idx="23">
                  <c:v>9.09</c:v>
                </c:pt>
                <c:pt idx="24">
                  <c:v>8.4700000000000006</c:v>
                </c:pt>
                <c:pt idx="25">
                  <c:v>8.41</c:v>
                </c:pt>
                <c:pt idx="26">
                  <c:v>8.26</c:v>
                </c:pt>
                <c:pt idx="27">
                  <c:v>7.91</c:v>
                </c:pt>
                <c:pt idx="28">
                  <c:v>7.73</c:v>
                </c:pt>
                <c:pt idx="29">
                  <c:v>7.92</c:v>
                </c:pt>
                <c:pt idx="30">
                  <c:v>7.46</c:v>
                </c:pt>
                <c:pt idx="31">
                  <c:v>7.06</c:v>
                </c:pt>
                <c:pt idx="32">
                  <c:v>6.75</c:v>
                </c:pt>
                <c:pt idx="33">
                  <c:v>6.73</c:v>
                </c:pt>
                <c:pt idx="34">
                  <c:v>6.24</c:v>
                </c:pt>
                <c:pt idx="35">
                  <c:v>5.84</c:v>
                </c:pt>
                <c:pt idx="36">
                  <c:v>6.67</c:v>
                </c:pt>
                <c:pt idx="37">
                  <c:v>7.29</c:v>
                </c:pt>
                <c:pt idx="38">
                  <c:v>7.81</c:v>
                </c:pt>
                <c:pt idx="39">
                  <c:v>7.81</c:v>
                </c:pt>
                <c:pt idx="40">
                  <c:v>7.48</c:v>
                </c:pt>
                <c:pt idx="41">
                  <c:v>7.35</c:v>
                </c:pt>
                <c:pt idx="42">
                  <c:v>7.08</c:v>
                </c:pt>
                <c:pt idx="43">
                  <c:v>6.4</c:v>
                </c:pt>
                <c:pt idx="44">
                  <c:v>6.81</c:v>
                </c:pt>
                <c:pt idx="45">
                  <c:v>6.9</c:v>
                </c:pt>
                <c:pt idx="46">
                  <c:v>6.45</c:v>
                </c:pt>
                <c:pt idx="47">
                  <c:v>6.18</c:v>
                </c:pt>
                <c:pt idx="48">
                  <c:v>6.18</c:v>
                </c:pt>
                <c:pt idx="49">
                  <c:v>5.96</c:v>
                </c:pt>
                <c:pt idx="50">
                  <c:v>5.72</c:v>
                </c:pt>
                <c:pt idx="51">
                  <c:v>5.48</c:v>
                </c:pt>
                <c:pt idx="52">
                  <c:v>5.0599999999999996</c:v>
                </c:pt>
                <c:pt idx="53">
                  <c:v>5</c:v>
                </c:pt>
                <c:pt idx="54">
                  <c:v>4.18</c:v>
                </c:pt>
                <c:pt idx="55">
                  <c:v>4.0999999999999996</c:v>
                </c:pt>
                <c:pt idx="56">
                  <c:v>4.25</c:v>
                </c:pt>
                <c:pt idx="57">
                  <c:v>4.76</c:v>
                </c:pt>
                <c:pt idx="58">
                  <c:v>5.34</c:v>
                </c:pt>
                <c:pt idx="59">
                  <c:v>5.46</c:v>
                </c:pt>
                <c:pt idx="60">
                  <c:v>5.32</c:v>
                </c:pt>
                <c:pt idx="61">
                  <c:v>5.34</c:v>
                </c:pt>
                <c:pt idx="62">
                  <c:v>5.31</c:v>
                </c:pt>
                <c:pt idx="63">
                  <c:v>4.96</c:v>
                </c:pt>
                <c:pt idx="64">
                  <c:v>4.82</c:v>
                </c:pt>
                <c:pt idx="65">
                  <c:v>5.22</c:v>
                </c:pt>
                <c:pt idx="66">
                  <c:v>4.99</c:v>
                </c:pt>
                <c:pt idx="67">
                  <c:v>5.12</c:v>
                </c:pt>
                <c:pt idx="68">
                  <c:v>5.35</c:v>
                </c:pt>
                <c:pt idx="69">
                  <c:v>5.07</c:v>
                </c:pt>
                <c:pt idx="70">
                  <c:v>4.4800000000000004</c:v>
                </c:pt>
                <c:pt idx="71">
                  <c:v>4.4000000000000004</c:v>
                </c:pt>
                <c:pt idx="72">
                  <c:v>4.25</c:v>
                </c:pt>
                <c:pt idx="73">
                  <c:v>4.09</c:v>
                </c:pt>
                <c:pt idx="74">
                  <c:v>4.26</c:v>
                </c:pt>
                <c:pt idx="75">
                  <c:v>4.4800000000000004</c:v>
                </c:pt>
                <c:pt idx="76">
                  <c:v>4.18</c:v>
                </c:pt>
                <c:pt idx="77">
                  <c:v>4.49</c:v>
                </c:pt>
                <c:pt idx="78">
                  <c:v>4.13</c:v>
                </c:pt>
                <c:pt idx="79">
                  <c:v>3.79</c:v>
                </c:pt>
                <c:pt idx="80">
                  <c:v>3.78</c:v>
                </c:pt>
                <c:pt idx="81">
                  <c:v>3.24</c:v>
                </c:pt>
                <c:pt idx="82">
                  <c:v>3.26</c:v>
                </c:pt>
                <c:pt idx="83">
                  <c:v>3.34</c:v>
                </c:pt>
                <c:pt idx="84">
                  <c:v>3.84</c:v>
                </c:pt>
                <c:pt idx="85">
                  <c:v>4.17</c:v>
                </c:pt>
                <c:pt idx="86">
                  <c:v>3.73</c:v>
                </c:pt>
                <c:pt idx="87">
                  <c:v>3.99</c:v>
                </c:pt>
                <c:pt idx="88">
                  <c:v>4.1100000000000003</c:v>
                </c:pt>
                <c:pt idx="89">
                  <c:v>4.6100000000000003</c:v>
                </c:pt>
                <c:pt idx="90">
                  <c:v>4.43</c:v>
                </c:pt>
                <c:pt idx="91">
                  <c:v>4.46</c:v>
                </c:pt>
                <c:pt idx="92">
                  <c:v>4.12</c:v>
                </c:pt>
                <c:pt idx="93">
                  <c:v>4.72</c:v>
                </c:pt>
                <c:pt idx="94">
                  <c:v>4.25</c:v>
                </c:pt>
                <c:pt idx="95">
                  <c:v>3.28</c:v>
                </c:pt>
                <c:pt idx="96">
                  <c:v>3.43</c:v>
                </c:pt>
                <c:pt idx="97">
                  <c:v>3.74</c:v>
                </c:pt>
                <c:pt idx="98">
                  <c:v>3.49</c:v>
                </c:pt>
                <c:pt idx="99">
                  <c:v>3.63</c:v>
                </c:pt>
                <c:pt idx="100">
                  <c:v>3.37</c:v>
                </c:pt>
                <c:pt idx="101">
                  <c:v>2.82</c:v>
                </c:pt>
                <c:pt idx="102">
                  <c:v>2.42</c:v>
                </c:pt>
                <c:pt idx="103">
                  <c:v>3.19</c:v>
                </c:pt>
                <c:pt idx="104">
                  <c:v>3.54</c:v>
                </c:pt>
                <c:pt idx="105">
                  <c:v>3.16</c:v>
                </c:pt>
                <c:pt idx="106">
                  <c:v>2.11</c:v>
                </c:pt>
                <c:pt idx="107">
                  <c:v>1.99</c:v>
                </c:pt>
                <c:pt idx="108">
                  <c:v>1.99</c:v>
                </c:pt>
                <c:pt idx="109">
                  <c:v>1.73</c:v>
                </c:pt>
                <c:pt idx="110">
                  <c:v>1.54</c:v>
                </c:pt>
                <c:pt idx="111">
                  <c:v>1.38</c:v>
                </c:pt>
                <c:pt idx="112">
                  <c:v>1.32</c:v>
                </c:pt>
                <c:pt idx="113">
                  <c:v>1.76</c:v>
                </c:pt>
                <c:pt idx="114">
                  <c:v>1.82</c:v>
                </c:pt>
                <c:pt idx="115">
                  <c:v>2.11</c:v>
                </c:pt>
                <c:pt idx="116">
                  <c:v>1.65</c:v>
                </c:pt>
                <c:pt idx="117">
                  <c:v>1.31</c:v>
                </c:pt>
                <c:pt idx="118">
                  <c:v>0.99</c:v>
                </c:pt>
                <c:pt idx="119">
                  <c:v>0.6</c:v>
                </c:pt>
                <c:pt idx="120">
                  <c:v>0.22</c:v>
                </c:pt>
                <c:pt idx="121">
                  <c:v>0.86</c:v>
                </c:pt>
                <c:pt idx="122">
                  <c:v>0.61</c:v>
                </c:pt>
                <c:pt idx="123">
                  <c:v>0.7</c:v>
                </c:pt>
                <c:pt idx="124">
                  <c:v>0.13</c:v>
                </c:pt>
                <c:pt idx="125">
                  <c:v>-0.14000000000000001</c:v>
                </c:pt>
                <c:pt idx="126">
                  <c:v>-0.21</c:v>
                </c:pt>
                <c:pt idx="127">
                  <c:v>0.22</c:v>
                </c:pt>
                <c:pt idx="128">
                  <c:v>0.33</c:v>
                </c:pt>
                <c:pt idx="129">
                  <c:v>0.48</c:v>
                </c:pt>
                <c:pt idx="130">
                  <c:v>0.46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D3-467A-B24E-9598A5B4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575552"/>
        <c:axId val="913575944"/>
      </c:lineChart>
      <c:dateAx>
        <c:axId val="913575552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13575944"/>
        <c:crosses val="autoZero"/>
        <c:auto val="1"/>
        <c:lblOffset val="100"/>
        <c:baseTimeUnit val="months"/>
        <c:majorUnit val="48"/>
        <c:majorTimeUnit val="months"/>
      </c:dateAx>
      <c:valAx>
        <c:axId val="913575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13575552"/>
        <c:crosses val="autoZero"/>
        <c:crossBetween val="between"/>
      </c:valAx>
      <c:spPr>
        <a:solidFill>
          <a:schemeClr val="bg1"/>
        </a:solidFill>
        <a:ln>
          <a:noFill/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22'!$C$6</c:f>
              <c:strCache>
                <c:ptCount val="1"/>
                <c:pt idx="0">
                  <c:v>Real equilibrium rate</c:v>
                </c:pt>
              </c:strCache>
            </c:strRef>
          </c:tx>
          <c:spPr>
            <a:ln w="28575" cap="flat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22'!$B$7:$B$137</c:f>
              <c:numCache>
                <c:formatCode>m/d/yyyy</c:formatCode>
                <c:ptCount val="131"/>
                <c:pt idx="0">
                  <c:v>31137</c:v>
                </c:pt>
                <c:pt idx="1">
                  <c:v>31228</c:v>
                </c:pt>
                <c:pt idx="2">
                  <c:v>31320</c:v>
                </c:pt>
                <c:pt idx="3">
                  <c:v>31412</c:v>
                </c:pt>
                <c:pt idx="4">
                  <c:v>31502</c:v>
                </c:pt>
                <c:pt idx="5">
                  <c:v>31593</c:v>
                </c:pt>
                <c:pt idx="6">
                  <c:v>31685</c:v>
                </c:pt>
                <c:pt idx="7">
                  <c:v>31777</c:v>
                </c:pt>
                <c:pt idx="8">
                  <c:v>31867</c:v>
                </c:pt>
                <c:pt idx="9">
                  <c:v>31958</c:v>
                </c:pt>
                <c:pt idx="10">
                  <c:v>32050</c:v>
                </c:pt>
                <c:pt idx="11">
                  <c:v>32142</c:v>
                </c:pt>
                <c:pt idx="12">
                  <c:v>32233</c:v>
                </c:pt>
                <c:pt idx="13">
                  <c:v>32324</c:v>
                </c:pt>
                <c:pt idx="14">
                  <c:v>32416</c:v>
                </c:pt>
                <c:pt idx="15">
                  <c:v>32508</c:v>
                </c:pt>
                <c:pt idx="16">
                  <c:v>32598</c:v>
                </c:pt>
                <c:pt idx="17">
                  <c:v>32689</c:v>
                </c:pt>
                <c:pt idx="18">
                  <c:v>32781</c:v>
                </c:pt>
                <c:pt idx="19">
                  <c:v>32873</c:v>
                </c:pt>
                <c:pt idx="20">
                  <c:v>32963</c:v>
                </c:pt>
                <c:pt idx="21">
                  <c:v>33054</c:v>
                </c:pt>
                <c:pt idx="22">
                  <c:v>33146</c:v>
                </c:pt>
                <c:pt idx="23">
                  <c:v>33238</c:v>
                </c:pt>
                <c:pt idx="24">
                  <c:v>33328</c:v>
                </c:pt>
                <c:pt idx="25">
                  <c:v>33419</c:v>
                </c:pt>
                <c:pt idx="26">
                  <c:v>33511</c:v>
                </c:pt>
                <c:pt idx="27">
                  <c:v>33603</c:v>
                </c:pt>
                <c:pt idx="28">
                  <c:v>33694</c:v>
                </c:pt>
                <c:pt idx="29">
                  <c:v>33785</c:v>
                </c:pt>
                <c:pt idx="30">
                  <c:v>33877</c:v>
                </c:pt>
                <c:pt idx="31">
                  <c:v>33969</c:v>
                </c:pt>
                <c:pt idx="32">
                  <c:v>34059</c:v>
                </c:pt>
                <c:pt idx="33">
                  <c:v>34150</c:v>
                </c:pt>
                <c:pt idx="34">
                  <c:v>34242</c:v>
                </c:pt>
                <c:pt idx="35">
                  <c:v>34334</c:v>
                </c:pt>
                <c:pt idx="36">
                  <c:v>34424</c:v>
                </c:pt>
                <c:pt idx="37">
                  <c:v>34515</c:v>
                </c:pt>
                <c:pt idx="38">
                  <c:v>34607</c:v>
                </c:pt>
                <c:pt idx="39">
                  <c:v>34699</c:v>
                </c:pt>
                <c:pt idx="40">
                  <c:v>34789</c:v>
                </c:pt>
                <c:pt idx="41">
                  <c:v>34880</c:v>
                </c:pt>
                <c:pt idx="42">
                  <c:v>34972</c:v>
                </c:pt>
                <c:pt idx="43">
                  <c:v>35064</c:v>
                </c:pt>
                <c:pt idx="44">
                  <c:v>35155</c:v>
                </c:pt>
                <c:pt idx="45">
                  <c:v>35246</c:v>
                </c:pt>
                <c:pt idx="46">
                  <c:v>35338</c:v>
                </c:pt>
                <c:pt idx="47">
                  <c:v>35430</c:v>
                </c:pt>
                <c:pt idx="48">
                  <c:v>35520</c:v>
                </c:pt>
                <c:pt idx="49">
                  <c:v>35611</c:v>
                </c:pt>
                <c:pt idx="50">
                  <c:v>35703</c:v>
                </c:pt>
                <c:pt idx="51">
                  <c:v>35795</c:v>
                </c:pt>
                <c:pt idx="52">
                  <c:v>35885</c:v>
                </c:pt>
                <c:pt idx="53">
                  <c:v>35976</c:v>
                </c:pt>
                <c:pt idx="54">
                  <c:v>36068</c:v>
                </c:pt>
                <c:pt idx="55">
                  <c:v>36160</c:v>
                </c:pt>
                <c:pt idx="56">
                  <c:v>36250</c:v>
                </c:pt>
                <c:pt idx="57">
                  <c:v>36341</c:v>
                </c:pt>
                <c:pt idx="58">
                  <c:v>36433</c:v>
                </c:pt>
                <c:pt idx="59">
                  <c:v>36525</c:v>
                </c:pt>
                <c:pt idx="60">
                  <c:v>36616</c:v>
                </c:pt>
                <c:pt idx="61">
                  <c:v>36707</c:v>
                </c:pt>
                <c:pt idx="62">
                  <c:v>36799</c:v>
                </c:pt>
                <c:pt idx="63">
                  <c:v>36891</c:v>
                </c:pt>
                <c:pt idx="64">
                  <c:v>36981</c:v>
                </c:pt>
                <c:pt idx="65">
                  <c:v>37072</c:v>
                </c:pt>
                <c:pt idx="66">
                  <c:v>37164</c:v>
                </c:pt>
                <c:pt idx="67">
                  <c:v>37256</c:v>
                </c:pt>
                <c:pt idx="68">
                  <c:v>37346</c:v>
                </c:pt>
                <c:pt idx="69">
                  <c:v>37437</c:v>
                </c:pt>
                <c:pt idx="70">
                  <c:v>37529</c:v>
                </c:pt>
                <c:pt idx="71">
                  <c:v>37621</c:v>
                </c:pt>
                <c:pt idx="72">
                  <c:v>37711</c:v>
                </c:pt>
                <c:pt idx="73">
                  <c:v>37802</c:v>
                </c:pt>
                <c:pt idx="74">
                  <c:v>37894</c:v>
                </c:pt>
                <c:pt idx="75">
                  <c:v>37986</c:v>
                </c:pt>
                <c:pt idx="76">
                  <c:v>38077</c:v>
                </c:pt>
                <c:pt idx="77">
                  <c:v>38168</c:v>
                </c:pt>
                <c:pt idx="78">
                  <c:v>38260</c:v>
                </c:pt>
                <c:pt idx="79">
                  <c:v>38352</c:v>
                </c:pt>
                <c:pt idx="80">
                  <c:v>38442</c:v>
                </c:pt>
                <c:pt idx="81">
                  <c:v>38533</c:v>
                </c:pt>
                <c:pt idx="82">
                  <c:v>38625</c:v>
                </c:pt>
                <c:pt idx="83">
                  <c:v>38717</c:v>
                </c:pt>
                <c:pt idx="84">
                  <c:v>38807</c:v>
                </c:pt>
                <c:pt idx="85">
                  <c:v>38898</c:v>
                </c:pt>
                <c:pt idx="86">
                  <c:v>38990</c:v>
                </c:pt>
                <c:pt idx="87">
                  <c:v>39082</c:v>
                </c:pt>
                <c:pt idx="88">
                  <c:v>39172</c:v>
                </c:pt>
                <c:pt idx="89">
                  <c:v>39263</c:v>
                </c:pt>
                <c:pt idx="90">
                  <c:v>39355</c:v>
                </c:pt>
                <c:pt idx="91">
                  <c:v>39447</c:v>
                </c:pt>
                <c:pt idx="92">
                  <c:v>39538</c:v>
                </c:pt>
                <c:pt idx="93">
                  <c:v>39629</c:v>
                </c:pt>
                <c:pt idx="94">
                  <c:v>39721</c:v>
                </c:pt>
                <c:pt idx="95">
                  <c:v>39813</c:v>
                </c:pt>
                <c:pt idx="96">
                  <c:v>39903</c:v>
                </c:pt>
                <c:pt idx="97">
                  <c:v>39994</c:v>
                </c:pt>
                <c:pt idx="98">
                  <c:v>40086</c:v>
                </c:pt>
                <c:pt idx="99">
                  <c:v>40178</c:v>
                </c:pt>
                <c:pt idx="100">
                  <c:v>40268</c:v>
                </c:pt>
                <c:pt idx="101">
                  <c:v>40359</c:v>
                </c:pt>
                <c:pt idx="102">
                  <c:v>40451</c:v>
                </c:pt>
                <c:pt idx="103">
                  <c:v>40543</c:v>
                </c:pt>
                <c:pt idx="104">
                  <c:v>40633</c:v>
                </c:pt>
                <c:pt idx="105">
                  <c:v>40724</c:v>
                </c:pt>
                <c:pt idx="106">
                  <c:v>40816</c:v>
                </c:pt>
                <c:pt idx="107">
                  <c:v>40908</c:v>
                </c:pt>
                <c:pt idx="108">
                  <c:v>40999</c:v>
                </c:pt>
                <c:pt idx="109">
                  <c:v>41090</c:v>
                </c:pt>
                <c:pt idx="110">
                  <c:v>41182</c:v>
                </c:pt>
                <c:pt idx="111">
                  <c:v>41274</c:v>
                </c:pt>
                <c:pt idx="112">
                  <c:v>41364</c:v>
                </c:pt>
                <c:pt idx="113">
                  <c:v>41455</c:v>
                </c:pt>
                <c:pt idx="114">
                  <c:v>41547</c:v>
                </c:pt>
                <c:pt idx="115">
                  <c:v>41639</c:v>
                </c:pt>
                <c:pt idx="116">
                  <c:v>41729</c:v>
                </c:pt>
                <c:pt idx="117">
                  <c:v>41820</c:v>
                </c:pt>
                <c:pt idx="118">
                  <c:v>41912</c:v>
                </c:pt>
                <c:pt idx="119">
                  <c:v>42004</c:v>
                </c:pt>
                <c:pt idx="120">
                  <c:v>42094</c:v>
                </c:pt>
                <c:pt idx="121">
                  <c:v>42185</c:v>
                </c:pt>
                <c:pt idx="122">
                  <c:v>42277</c:v>
                </c:pt>
                <c:pt idx="123">
                  <c:v>42369</c:v>
                </c:pt>
                <c:pt idx="124">
                  <c:v>42460</c:v>
                </c:pt>
                <c:pt idx="125">
                  <c:v>42551</c:v>
                </c:pt>
                <c:pt idx="126">
                  <c:v>42643</c:v>
                </c:pt>
                <c:pt idx="127">
                  <c:v>42735</c:v>
                </c:pt>
                <c:pt idx="128">
                  <c:v>42825</c:v>
                </c:pt>
                <c:pt idx="129">
                  <c:v>42916</c:v>
                </c:pt>
                <c:pt idx="130">
                  <c:v>43008</c:v>
                </c:pt>
              </c:numCache>
            </c:numRef>
          </c:cat>
          <c:val>
            <c:numRef>
              <c:f>'Graf 22'!$C$7:$C$137</c:f>
              <c:numCache>
                <c:formatCode>0.00</c:formatCode>
                <c:ptCount val="131"/>
                <c:pt idx="0">
                  <c:v>1.68154912724418</c:v>
                </c:pt>
                <c:pt idx="1">
                  <c:v>1.75396399924256</c:v>
                </c:pt>
                <c:pt idx="2">
                  <c:v>1.4579586288233599</c:v>
                </c:pt>
                <c:pt idx="3">
                  <c:v>1.4447075386019701</c:v>
                </c:pt>
                <c:pt idx="4">
                  <c:v>1.01748183952788</c:v>
                </c:pt>
                <c:pt idx="5">
                  <c:v>1.1546144663259701</c:v>
                </c:pt>
                <c:pt idx="6">
                  <c:v>1.1109179984174999</c:v>
                </c:pt>
                <c:pt idx="7">
                  <c:v>0.98808457410834205</c:v>
                </c:pt>
                <c:pt idx="8">
                  <c:v>0.98190902819551396</c:v>
                </c:pt>
                <c:pt idx="9">
                  <c:v>1.3247251799895099</c:v>
                </c:pt>
                <c:pt idx="10">
                  <c:v>1.4617483754584799</c:v>
                </c:pt>
                <c:pt idx="11">
                  <c:v>1.5321081795373701</c:v>
                </c:pt>
                <c:pt idx="12">
                  <c:v>1.4718941325230701</c:v>
                </c:pt>
                <c:pt idx="13">
                  <c:v>1.5519702649421501</c:v>
                </c:pt>
                <c:pt idx="14">
                  <c:v>1.7551865234669699</c:v>
                </c:pt>
                <c:pt idx="15">
                  <c:v>1.8706791944874099</c:v>
                </c:pt>
                <c:pt idx="16">
                  <c:v>2.04348930107576</c:v>
                </c:pt>
                <c:pt idx="17">
                  <c:v>2.15469776069795</c:v>
                </c:pt>
                <c:pt idx="18">
                  <c:v>2.1161475632347702</c:v>
                </c:pt>
                <c:pt idx="19">
                  <c:v>2.2776755688804702</c:v>
                </c:pt>
                <c:pt idx="20">
                  <c:v>2.49885597559626</c:v>
                </c:pt>
                <c:pt idx="21">
                  <c:v>2.3928677841830299</c:v>
                </c:pt>
                <c:pt idx="22">
                  <c:v>2.46223225269443</c:v>
                </c:pt>
                <c:pt idx="23">
                  <c:v>2.5700897375461902</c:v>
                </c:pt>
                <c:pt idx="24">
                  <c:v>2.6546374070204899</c:v>
                </c:pt>
                <c:pt idx="25">
                  <c:v>2.72592905760825</c:v>
                </c:pt>
                <c:pt idx="26">
                  <c:v>2.78120979819457</c:v>
                </c:pt>
                <c:pt idx="27">
                  <c:v>2.8505344409453701</c:v>
                </c:pt>
                <c:pt idx="28">
                  <c:v>2.9989192906857798</c:v>
                </c:pt>
                <c:pt idx="29">
                  <c:v>2.6293124120699698</c:v>
                </c:pt>
                <c:pt idx="30">
                  <c:v>2.4165790022948102</c:v>
                </c:pt>
                <c:pt idx="31">
                  <c:v>2.3809781961261201</c:v>
                </c:pt>
                <c:pt idx="32">
                  <c:v>2.3396328596518998</c:v>
                </c:pt>
                <c:pt idx="33">
                  <c:v>2.3365769172795301</c:v>
                </c:pt>
                <c:pt idx="34">
                  <c:v>2.3937368745089298</c:v>
                </c:pt>
                <c:pt idx="35">
                  <c:v>2.3108893517812898</c:v>
                </c:pt>
                <c:pt idx="36">
                  <c:v>2.28561814099334</c:v>
                </c:pt>
                <c:pt idx="37">
                  <c:v>2.2951891690603099</c:v>
                </c:pt>
                <c:pt idx="38">
                  <c:v>2.37085551717729</c:v>
                </c:pt>
                <c:pt idx="39">
                  <c:v>2.3681654118898199</c:v>
                </c:pt>
                <c:pt idx="40">
                  <c:v>2.2988582676234302</c:v>
                </c:pt>
                <c:pt idx="41">
                  <c:v>2.26712026938322</c:v>
                </c:pt>
                <c:pt idx="42">
                  <c:v>2.2004392572762499</c:v>
                </c:pt>
                <c:pt idx="43">
                  <c:v>2.1163279987430901</c:v>
                </c:pt>
                <c:pt idx="44">
                  <c:v>2.0724061498793298</c:v>
                </c:pt>
                <c:pt idx="45">
                  <c:v>2.0884884772846002</c:v>
                </c:pt>
                <c:pt idx="46">
                  <c:v>1.90936693624041</c:v>
                </c:pt>
                <c:pt idx="47">
                  <c:v>1.8394583289413899</c:v>
                </c:pt>
                <c:pt idx="48">
                  <c:v>1.7980805854184101</c:v>
                </c:pt>
                <c:pt idx="49">
                  <c:v>1.9130088131779901</c:v>
                </c:pt>
                <c:pt idx="50">
                  <c:v>1.9995462457014199</c:v>
                </c:pt>
                <c:pt idx="51">
                  <c:v>2.09539147886285</c:v>
                </c:pt>
                <c:pt idx="52">
                  <c:v>1.99565427799349</c:v>
                </c:pt>
                <c:pt idx="53">
                  <c:v>2.0221756397812798</c:v>
                </c:pt>
                <c:pt idx="54">
                  <c:v>1.97549249282933</c:v>
                </c:pt>
                <c:pt idx="55">
                  <c:v>1.75694809976005</c:v>
                </c:pt>
                <c:pt idx="56">
                  <c:v>1.8079477702842299</c:v>
                </c:pt>
                <c:pt idx="57">
                  <c:v>1.7263148527918499</c:v>
                </c:pt>
                <c:pt idx="58">
                  <c:v>1.8267704157689999</c:v>
                </c:pt>
                <c:pt idx="59">
                  <c:v>2.0109610739625499</c:v>
                </c:pt>
                <c:pt idx="60">
                  <c:v>2.0320727683528399</c:v>
                </c:pt>
                <c:pt idx="61">
                  <c:v>2.0206030005958899</c:v>
                </c:pt>
                <c:pt idx="62">
                  <c:v>2.2199721904469301</c:v>
                </c:pt>
                <c:pt idx="63">
                  <c:v>2.35998072670274</c:v>
                </c:pt>
                <c:pt idx="64">
                  <c:v>2.5481907452961501</c:v>
                </c:pt>
                <c:pt idx="65">
                  <c:v>2.7387533487736699</c:v>
                </c:pt>
                <c:pt idx="66">
                  <c:v>2.5561830846075599</c:v>
                </c:pt>
                <c:pt idx="67">
                  <c:v>2.5321803462333898</c:v>
                </c:pt>
                <c:pt idx="68">
                  <c:v>2.5399121940171301</c:v>
                </c:pt>
                <c:pt idx="69">
                  <c:v>2.3115865336099199</c:v>
                </c:pt>
                <c:pt idx="70">
                  <c:v>2.1988890383323101</c:v>
                </c:pt>
                <c:pt idx="71">
                  <c:v>2.10738829330842</c:v>
                </c:pt>
                <c:pt idx="72">
                  <c:v>1.9236271794762501</c:v>
                </c:pt>
                <c:pt idx="73">
                  <c:v>1.90993624802997</c:v>
                </c:pt>
                <c:pt idx="74">
                  <c:v>1.98272033858479</c:v>
                </c:pt>
                <c:pt idx="75">
                  <c:v>2.0333667994382898</c:v>
                </c:pt>
                <c:pt idx="76">
                  <c:v>1.9992944478738699</c:v>
                </c:pt>
                <c:pt idx="77">
                  <c:v>1.96019846650672</c:v>
                </c:pt>
                <c:pt idx="78">
                  <c:v>1.76705093863714</c:v>
                </c:pt>
                <c:pt idx="79">
                  <c:v>1.6215134535912299</c:v>
                </c:pt>
                <c:pt idx="80">
                  <c:v>1.51563446309501</c:v>
                </c:pt>
                <c:pt idx="81">
                  <c:v>1.5355387933487601</c:v>
                </c:pt>
                <c:pt idx="82">
                  <c:v>1.58733193536579</c:v>
                </c:pt>
                <c:pt idx="83">
                  <c:v>1.6271317737869699</c:v>
                </c:pt>
                <c:pt idx="84">
                  <c:v>1.66374094506059</c:v>
                </c:pt>
                <c:pt idx="85">
                  <c:v>1.86181783084907</c:v>
                </c:pt>
                <c:pt idx="86">
                  <c:v>1.91703566294643</c:v>
                </c:pt>
                <c:pt idx="87">
                  <c:v>2.0001374464901698</c:v>
                </c:pt>
                <c:pt idx="88">
                  <c:v>2.0228233953177002</c:v>
                </c:pt>
                <c:pt idx="89">
                  <c:v>2.0389811640214899</c:v>
                </c:pt>
                <c:pt idx="90">
                  <c:v>2.0475675225734702</c:v>
                </c:pt>
                <c:pt idx="91">
                  <c:v>2.2658077398774901</c:v>
                </c:pt>
                <c:pt idx="92">
                  <c:v>2.3396735367627999</c:v>
                </c:pt>
                <c:pt idx="93">
                  <c:v>1.98646607135161</c:v>
                </c:pt>
                <c:pt idx="94">
                  <c:v>1.7679277803904001</c:v>
                </c:pt>
                <c:pt idx="95">
                  <c:v>1.1813357499446999</c:v>
                </c:pt>
                <c:pt idx="96">
                  <c:v>0.37442268819931601</c:v>
                </c:pt>
                <c:pt idx="97">
                  <c:v>0.41506058245044303</c:v>
                </c:pt>
                <c:pt idx="98">
                  <c:v>0.51219332945749296</c:v>
                </c:pt>
                <c:pt idx="99">
                  <c:v>0.62478593500919399</c:v>
                </c:pt>
                <c:pt idx="100">
                  <c:v>0.65716045571815795</c:v>
                </c:pt>
                <c:pt idx="101">
                  <c:v>0.84290549352065303</c:v>
                </c:pt>
                <c:pt idx="102">
                  <c:v>0.90968435112839097</c:v>
                </c:pt>
                <c:pt idx="103">
                  <c:v>0.88612295742402603</c:v>
                </c:pt>
                <c:pt idx="104">
                  <c:v>1.04226642111097</c:v>
                </c:pt>
                <c:pt idx="105">
                  <c:v>1.0054526809595601</c:v>
                </c:pt>
                <c:pt idx="106">
                  <c:v>0.82969032185253699</c:v>
                </c:pt>
                <c:pt idx="107">
                  <c:v>0.76190851288932604</c:v>
                </c:pt>
                <c:pt idx="108">
                  <c:v>0.66046540903032402</c:v>
                </c:pt>
                <c:pt idx="109">
                  <c:v>0.51039907340687096</c:v>
                </c:pt>
                <c:pt idx="110">
                  <c:v>0.40366003975592701</c:v>
                </c:pt>
                <c:pt idx="111">
                  <c:v>0.31871286329545401</c:v>
                </c:pt>
                <c:pt idx="112">
                  <c:v>0.102944521687691</c:v>
                </c:pt>
                <c:pt idx="113">
                  <c:v>0.141366586694507</c:v>
                </c:pt>
                <c:pt idx="114">
                  <c:v>3.6869790909187503E-2</c:v>
                </c:pt>
                <c:pt idx="115">
                  <c:v>-0.13098083164261001</c:v>
                </c:pt>
                <c:pt idx="116">
                  <c:v>-0.132653809599798</c:v>
                </c:pt>
                <c:pt idx="117">
                  <c:v>-0.306131070246832</c:v>
                </c:pt>
                <c:pt idx="118">
                  <c:v>-0.277453566021022</c:v>
                </c:pt>
                <c:pt idx="119">
                  <c:v>-0.20102655642742501</c:v>
                </c:pt>
                <c:pt idx="120">
                  <c:v>-6.2936313090145704E-2</c:v>
                </c:pt>
                <c:pt idx="121">
                  <c:v>-1.7968473057555601E-2</c:v>
                </c:pt>
                <c:pt idx="122">
                  <c:v>-9.1096799522763002E-3</c:v>
                </c:pt>
                <c:pt idx="123">
                  <c:v>-1.5604179835060399E-4</c:v>
                </c:pt>
                <c:pt idx="124">
                  <c:v>-0.137998606129698</c:v>
                </c:pt>
                <c:pt idx="125">
                  <c:v>-9.9536553689564697E-2</c:v>
                </c:pt>
                <c:pt idx="126">
                  <c:v>-2.92746518962348E-2</c:v>
                </c:pt>
                <c:pt idx="127">
                  <c:v>-1.81503438834314E-2</c:v>
                </c:pt>
                <c:pt idx="128">
                  <c:v>0.13329066311121701</c:v>
                </c:pt>
                <c:pt idx="129">
                  <c:v>0.181169398635535</c:v>
                </c:pt>
                <c:pt idx="130">
                  <c:v>0.21019180189617201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3-467A-B24E-9598A5B4FBFD}"/>
            </c:ext>
          </c:extLst>
        </c:ser>
        <c:ser>
          <c:idx val="1"/>
          <c:order val="1"/>
          <c:tx>
            <c:strRef>
              <c:f>'Graf 22'!$D$6</c:f>
              <c:strCache>
                <c:ptCount val="1"/>
                <c:pt idx="0">
                  <c:v>Long-term inflation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22'!$B$7:$B$137</c:f>
              <c:numCache>
                <c:formatCode>m/d/yyyy</c:formatCode>
                <c:ptCount val="131"/>
                <c:pt idx="0">
                  <c:v>31137</c:v>
                </c:pt>
                <c:pt idx="1">
                  <c:v>31228</c:v>
                </c:pt>
                <c:pt idx="2">
                  <c:v>31320</c:v>
                </c:pt>
                <c:pt idx="3">
                  <c:v>31412</c:v>
                </c:pt>
                <c:pt idx="4">
                  <c:v>31502</c:v>
                </c:pt>
                <c:pt idx="5">
                  <c:v>31593</c:v>
                </c:pt>
                <c:pt idx="6">
                  <c:v>31685</c:v>
                </c:pt>
                <c:pt idx="7">
                  <c:v>31777</c:v>
                </c:pt>
                <c:pt idx="8">
                  <c:v>31867</c:v>
                </c:pt>
                <c:pt idx="9">
                  <c:v>31958</c:v>
                </c:pt>
                <c:pt idx="10">
                  <c:v>32050</c:v>
                </c:pt>
                <c:pt idx="11">
                  <c:v>32142</c:v>
                </c:pt>
                <c:pt idx="12">
                  <c:v>32233</c:v>
                </c:pt>
                <c:pt idx="13">
                  <c:v>32324</c:v>
                </c:pt>
                <c:pt idx="14">
                  <c:v>32416</c:v>
                </c:pt>
                <c:pt idx="15">
                  <c:v>32508</c:v>
                </c:pt>
                <c:pt idx="16">
                  <c:v>32598</c:v>
                </c:pt>
                <c:pt idx="17">
                  <c:v>32689</c:v>
                </c:pt>
                <c:pt idx="18">
                  <c:v>32781</c:v>
                </c:pt>
                <c:pt idx="19">
                  <c:v>32873</c:v>
                </c:pt>
                <c:pt idx="20">
                  <c:v>32963</c:v>
                </c:pt>
                <c:pt idx="21">
                  <c:v>33054</c:v>
                </c:pt>
                <c:pt idx="22">
                  <c:v>33146</c:v>
                </c:pt>
                <c:pt idx="23">
                  <c:v>33238</c:v>
                </c:pt>
                <c:pt idx="24">
                  <c:v>33328</c:v>
                </c:pt>
                <c:pt idx="25">
                  <c:v>33419</c:v>
                </c:pt>
                <c:pt idx="26">
                  <c:v>33511</c:v>
                </c:pt>
                <c:pt idx="27">
                  <c:v>33603</c:v>
                </c:pt>
                <c:pt idx="28">
                  <c:v>33694</c:v>
                </c:pt>
                <c:pt idx="29">
                  <c:v>33785</c:v>
                </c:pt>
                <c:pt idx="30">
                  <c:v>33877</c:v>
                </c:pt>
                <c:pt idx="31">
                  <c:v>33969</c:v>
                </c:pt>
                <c:pt idx="32">
                  <c:v>34059</c:v>
                </c:pt>
                <c:pt idx="33">
                  <c:v>34150</c:v>
                </c:pt>
                <c:pt idx="34">
                  <c:v>34242</c:v>
                </c:pt>
                <c:pt idx="35">
                  <c:v>34334</c:v>
                </c:pt>
                <c:pt idx="36">
                  <c:v>34424</c:v>
                </c:pt>
                <c:pt idx="37">
                  <c:v>34515</c:v>
                </c:pt>
                <c:pt idx="38">
                  <c:v>34607</c:v>
                </c:pt>
                <c:pt idx="39">
                  <c:v>34699</c:v>
                </c:pt>
                <c:pt idx="40">
                  <c:v>34789</c:v>
                </c:pt>
                <c:pt idx="41">
                  <c:v>34880</c:v>
                </c:pt>
                <c:pt idx="42">
                  <c:v>34972</c:v>
                </c:pt>
                <c:pt idx="43">
                  <c:v>35064</c:v>
                </c:pt>
                <c:pt idx="44">
                  <c:v>35155</c:v>
                </c:pt>
                <c:pt idx="45">
                  <c:v>35246</c:v>
                </c:pt>
                <c:pt idx="46">
                  <c:v>35338</c:v>
                </c:pt>
                <c:pt idx="47">
                  <c:v>35430</c:v>
                </c:pt>
                <c:pt idx="48">
                  <c:v>35520</c:v>
                </c:pt>
                <c:pt idx="49">
                  <c:v>35611</c:v>
                </c:pt>
                <c:pt idx="50">
                  <c:v>35703</c:v>
                </c:pt>
                <c:pt idx="51">
                  <c:v>35795</c:v>
                </c:pt>
                <c:pt idx="52">
                  <c:v>35885</c:v>
                </c:pt>
                <c:pt idx="53">
                  <c:v>35976</c:v>
                </c:pt>
                <c:pt idx="54">
                  <c:v>36068</c:v>
                </c:pt>
                <c:pt idx="55">
                  <c:v>36160</c:v>
                </c:pt>
                <c:pt idx="56">
                  <c:v>36250</c:v>
                </c:pt>
                <c:pt idx="57">
                  <c:v>36341</c:v>
                </c:pt>
                <c:pt idx="58">
                  <c:v>36433</c:v>
                </c:pt>
                <c:pt idx="59">
                  <c:v>36525</c:v>
                </c:pt>
                <c:pt idx="60">
                  <c:v>36616</c:v>
                </c:pt>
                <c:pt idx="61">
                  <c:v>36707</c:v>
                </c:pt>
                <c:pt idx="62">
                  <c:v>36799</c:v>
                </c:pt>
                <c:pt idx="63">
                  <c:v>36891</c:v>
                </c:pt>
                <c:pt idx="64">
                  <c:v>36981</c:v>
                </c:pt>
                <c:pt idx="65">
                  <c:v>37072</c:v>
                </c:pt>
                <c:pt idx="66">
                  <c:v>37164</c:v>
                </c:pt>
                <c:pt idx="67">
                  <c:v>37256</c:v>
                </c:pt>
                <c:pt idx="68">
                  <c:v>37346</c:v>
                </c:pt>
                <c:pt idx="69">
                  <c:v>37437</c:v>
                </c:pt>
                <c:pt idx="70">
                  <c:v>37529</c:v>
                </c:pt>
                <c:pt idx="71">
                  <c:v>37621</c:v>
                </c:pt>
                <c:pt idx="72">
                  <c:v>37711</c:v>
                </c:pt>
                <c:pt idx="73">
                  <c:v>37802</c:v>
                </c:pt>
                <c:pt idx="74">
                  <c:v>37894</c:v>
                </c:pt>
                <c:pt idx="75">
                  <c:v>37986</c:v>
                </c:pt>
                <c:pt idx="76">
                  <c:v>38077</c:v>
                </c:pt>
                <c:pt idx="77">
                  <c:v>38168</c:v>
                </c:pt>
                <c:pt idx="78">
                  <c:v>38260</c:v>
                </c:pt>
                <c:pt idx="79">
                  <c:v>38352</c:v>
                </c:pt>
                <c:pt idx="80">
                  <c:v>38442</c:v>
                </c:pt>
                <c:pt idx="81">
                  <c:v>38533</c:v>
                </c:pt>
                <c:pt idx="82">
                  <c:v>38625</c:v>
                </c:pt>
                <c:pt idx="83">
                  <c:v>38717</c:v>
                </c:pt>
                <c:pt idx="84">
                  <c:v>38807</c:v>
                </c:pt>
                <c:pt idx="85">
                  <c:v>38898</c:v>
                </c:pt>
                <c:pt idx="86">
                  <c:v>38990</c:v>
                </c:pt>
                <c:pt idx="87">
                  <c:v>39082</c:v>
                </c:pt>
                <c:pt idx="88">
                  <c:v>39172</c:v>
                </c:pt>
                <c:pt idx="89">
                  <c:v>39263</c:v>
                </c:pt>
                <c:pt idx="90">
                  <c:v>39355</c:v>
                </c:pt>
                <c:pt idx="91">
                  <c:v>39447</c:v>
                </c:pt>
                <c:pt idx="92">
                  <c:v>39538</c:v>
                </c:pt>
                <c:pt idx="93">
                  <c:v>39629</c:v>
                </c:pt>
                <c:pt idx="94">
                  <c:v>39721</c:v>
                </c:pt>
                <c:pt idx="95">
                  <c:v>39813</c:v>
                </c:pt>
                <c:pt idx="96">
                  <c:v>39903</c:v>
                </c:pt>
                <c:pt idx="97">
                  <c:v>39994</c:v>
                </c:pt>
                <c:pt idx="98">
                  <c:v>40086</c:v>
                </c:pt>
                <c:pt idx="99">
                  <c:v>40178</c:v>
                </c:pt>
                <c:pt idx="100">
                  <c:v>40268</c:v>
                </c:pt>
                <c:pt idx="101">
                  <c:v>40359</c:v>
                </c:pt>
                <c:pt idx="102">
                  <c:v>40451</c:v>
                </c:pt>
                <c:pt idx="103">
                  <c:v>40543</c:v>
                </c:pt>
                <c:pt idx="104">
                  <c:v>40633</c:v>
                </c:pt>
                <c:pt idx="105">
                  <c:v>40724</c:v>
                </c:pt>
                <c:pt idx="106">
                  <c:v>40816</c:v>
                </c:pt>
                <c:pt idx="107">
                  <c:v>40908</c:v>
                </c:pt>
                <c:pt idx="108">
                  <c:v>40999</c:v>
                </c:pt>
                <c:pt idx="109">
                  <c:v>41090</c:v>
                </c:pt>
                <c:pt idx="110">
                  <c:v>41182</c:v>
                </c:pt>
                <c:pt idx="111">
                  <c:v>41274</c:v>
                </c:pt>
                <c:pt idx="112">
                  <c:v>41364</c:v>
                </c:pt>
                <c:pt idx="113">
                  <c:v>41455</c:v>
                </c:pt>
                <c:pt idx="114">
                  <c:v>41547</c:v>
                </c:pt>
                <c:pt idx="115">
                  <c:v>41639</c:v>
                </c:pt>
                <c:pt idx="116">
                  <c:v>41729</c:v>
                </c:pt>
                <c:pt idx="117">
                  <c:v>41820</c:v>
                </c:pt>
                <c:pt idx="118">
                  <c:v>41912</c:v>
                </c:pt>
                <c:pt idx="119">
                  <c:v>42004</c:v>
                </c:pt>
                <c:pt idx="120">
                  <c:v>42094</c:v>
                </c:pt>
                <c:pt idx="121">
                  <c:v>42185</c:v>
                </c:pt>
                <c:pt idx="122">
                  <c:v>42277</c:v>
                </c:pt>
                <c:pt idx="123">
                  <c:v>42369</c:v>
                </c:pt>
                <c:pt idx="124">
                  <c:v>42460</c:v>
                </c:pt>
                <c:pt idx="125">
                  <c:v>42551</c:v>
                </c:pt>
                <c:pt idx="126">
                  <c:v>42643</c:v>
                </c:pt>
                <c:pt idx="127">
                  <c:v>42735</c:v>
                </c:pt>
                <c:pt idx="128">
                  <c:v>42825</c:v>
                </c:pt>
                <c:pt idx="129">
                  <c:v>42916</c:v>
                </c:pt>
                <c:pt idx="130">
                  <c:v>43008</c:v>
                </c:pt>
              </c:numCache>
            </c:numRef>
          </c:cat>
          <c:val>
            <c:numRef>
              <c:f>'Graf 22'!$D$7:$D$137</c:f>
              <c:numCache>
                <c:formatCode>0.00</c:formatCode>
                <c:ptCount val="131"/>
                <c:pt idx="0">
                  <c:v>7.8135206996367996</c:v>
                </c:pt>
                <c:pt idx="1">
                  <c:v>7.65922812217278</c:v>
                </c:pt>
                <c:pt idx="2">
                  <c:v>7.3785056562235196</c:v>
                </c:pt>
                <c:pt idx="3">
                  <c:v>7.1292578031976896</c:v>
                </c:pt>
                <c:pt idx="4">
                  <c:v>6.80939629101647</c:v>
                </c:pt>
                <c:pt idx="5">
                  <c:v>6.4719473232223397</c:v>
                </c:pt>
                <c:pt idx="6">
                  <c:v>6.1604813163734002</c:v>
                </c:pt>
                <c:pt idx="7">
                  <c:v>5.8404943662865501</c:v>
                </c:pt>
                <c:pt idx="8">
                  <c:v>5.5788253400514503</c:v>
                </c:pt>
                <c:pt idx="9">
                  <c:v>5.3198973404560901</c:v>
                </c:pt>
                <c:pt idx="10">
                  <c:v>5.0614954805690298</c:v>
                </c:pt>
                <c:pt idx="11">
                  <c:v>4.8222089717725396</c:v>
                </c:pt>
                <c:pt idx="12">
                  <c:v>4.5924482164694203</c:v>
                </c:pt>
                <c:pt idx="13">
                  <c:v>4.3802240061237603</c:v>
                </c:pt>
                <c:pt idx="14">
                  <c:v>4.1897342314181598</c:v>
                </c:pt>
                <c:pt idx="15">
                  <c:v>4.0467552893081002</c:v>
                </c:pt>
                <c:pt idx="16">
                  <c:v>3.91942263058887</c:v>
                </c:pt>
                <c:pt idx="17">
                  <c:v>3.8127096785238299</c:v>
                </c:pt>
                <c:pt idx="18">
                  <c:v>3.7208749101490102</c:v>
                </c:pt>
                <c:pt idx="19">
                  <c:v>3.6464413780242699</c:v>
                </c:pt>
                <c:pt idx="20">
                  <c:v>3.6013862562930599</c:v>
                </c:pt>
                <c:pt idx="21">
                  <c:v>3.53936174015635</c:v>
                </c:pt>
                <c:pt idx="22">
                  <c:v>3.4833675300913902</c:v>
                </c:pt>
                <c:pt idx="23">
                  <c:v>3.4705548990564501</c:v>
                </c:pt>
                <c:pt idx="24">
                  <c:v>3.4511359642133801</c:v>
                </c:pt>
                <c:pt idx="25">
                  <c:v>3.4627689245233002</c:v>
                </c:pt>
                <c:pt idx="26">
                  <c:v>3.51609150080577</c:v>
                </c:pt>
                <c:pt idx="27">
                  <c:v>3.53581278409948</c:v>
                </c:pt>
                <c:pt idx="28">
                  <c:v>3.53977948515077</c:v>
                </c:pt>
                <c:pt idx="29">
                  <c:v>3.5319472761472799</c:v>
                </c:pt>
                <c:pt idx="30">
                  <c:v>3.4852473802308799</c:v>
                </c:pt>
                <c:pt idx="31">
                  <c:v>3.45503563216726</c:v>
                </c:pt>
                <c:pt idx="32">
                  <c:v>3.4870507162423099</c:v>
                </c:pt>
                <c:pt idx="33">
                  <c:v>3.4791817737710198</c:v>
                </c:pt>
                <c:pt idx="34">
                  <c:v>3.4818524783654499</c:v>
                </c:pt>
                <c:pt idx="35">
                  <c:v>3.4730357813970798</c:v>
                </c:pt>
                <c:pt idx="36">
                  <c:v>3.4232711369973501</c:v>
                </c:pt>
                <c:pt idx="37">
                  <c:v>3.3959702960869702</c:v>
                </c:pt>
                <c:pt idx="38">
                  <c:v>3.3794291020831402</c:v>
                </c:pt>
                <c:pt idx="39">
                  <c:v>3.3504274249043902</c:v>
                </c:pt>
                <c:pt idx="40">
                  <c:v>3.3079047310603</c:v>
                </c:pt>
                <c:pt idx="41">
                  <c:v>3.2670957159972298</c:v>
                </c:pt>
                <c:pt idx="42">
                  <c:v>3.2325554342382001</c:v>
                </c:pt>
                <c:pt idx="43">
                  <c:v>3.1821065789170699</c:v>
                </c:pt>
                <c:pt idx="44">
                  <c:v>3.1353831189792598</c:v>
                </c:pt>
                <c:pt idx="45">
                  <c:v>3.0709570741771199</c:v>
                </c:pt>
                <c:pt idx="46">
                  <c:v>2.95105929651392</c:v>
                </c:pt>
                <c:pt idx="47">
                  <c:v>2.8413681224159899</c:v>
                </c:pt>
                <c:pt idx="48">
                  <c:v>2.7580514379723602</c:v>
                </c:pt>
                <c:pt idx="49">
                  <c:v>2.65182051002785</c:v>
                </c:pt>
                <c:pt idx="50">
                  <c:v>2.57649373016126</c:v>
                </c:pt>
                <c:pt idx="51">
                  <c:v>2.50844938011448</c:v>
                </c:pt>
                <c:pt idx="52">
                  <c:v>2.4255037047010801</c:v>
                </c:pt>
                <c:pt idx="53">
                  <c:v>2.36679115490446</c:v>
                </c:pt>
                <c:pt idx="54">
                  <c:v>2.2934450464290101</c:v>
                </c:pt>
                <c:pt idx="55">
                  <c:v>2.17854613663458</c:v>
                </c:pt>
                <c:pt idx="56">
                  <c:v>2.0606684681260701</c:v>
                </c:pt>
                <c:pt idx="57">
                  <c:v>1.94258910961655</c:v>
                </c:pt>
                <c:pt idx="58">
                  <c:v>1.84228491861703</c:v>
                </c:pt>
                <c:pt idx="59">
                  <c:v>1.7700516739672201</c:v>
                </c:pt>
                <c:pt idx="60">
                  <c:v>1.6953679041929901</c:v>
                </c:pt>
                <c:pt idx="61">
                  <c:v>1.6174005164924601</c:v>
                </c:pt>
                <c:pt idx="62">
                  <c:v>1.6051728068692299</c:v>
                </c:pt>
                <c:pt idx="63">
                  <c:v>1.60978553413256</c:v>
                </c:pt>
                <c:pt idx="64">
                  <c:v>1.6365656895798699</c:v>
                </c:pt>
                <c:pt idx="65">
                  <c:v>1.7311455467766399</c:v>
                </c:pt>
                <c:pt idx="66">
                  <c:v>1.7812558561418901</c:v>
                </c:pt>
                <c:pt idx="67">
                  <c:v>1.82614900416792</c:v>
                </c:pt>
                <c:pt idx="68">
                  <c:v>1.8830239305449299</c:v>
                </c:pt>
                <c:pt idx="69">
                  <c:v>1.8758159294341401</c:v>
                </c:pt>
                <c:pt idx="70">
                  <c:v>1.8628154833391299</c:v>
                </c:pt>
                <c:pt idx="71">
                  <c:v>1.8623961237473401</c:v>
                </c:pt>
                <c:pt idx="72">
                  <c:v>1.8590506735039101</c:v>
                </c:pt>
                <c:pt idx="73">
                  <c:v>1.86734372019223</c:v>
                </c:pt>
                <c:pt idx="74">
                  <c:v>1.87751848145068</c:v>
                </c:pt>
                <c:pt idx="75">
                  <c:v>1.88556232281281</c:v>
                </c:pt>
                <c:pt idx="76">
                  <c:v>1.90197509908305</c:v>
                </c:pt>
                <c:pt idx="77">
                  <c:v>1.9173682093342299</c:v>
                </c:pt>
                <c:pt idx="78">
                  <c:v>1.9013839279381699</c:v>
                </c:pt>
                <c:pt idx="79">
                  <c:v>1.8716170530865399</c:v>
                </c:pt>
                <c:pt idx="80">
                  <c:v>1.8410917865985099</c:v>
                </c:pt>
                <c:pt idx="81">
                  <c:v>1.8085682181917799</c:v>
                </c:pt>
                <c:pt idx="82">
                  <c:v>1.78690880453842</c:v>
                </c:pt>
                <c:pt idx="83">
                  <c:v>1.7719430204353801</c:v>
                </c:pt>
                <c:pt idx="84">
                  <c:v>1.7505416892017001</c:v>
                </c:pt>
                <c:pt idx="85">
                  <c:v>1.7682514277558301</c:v>
                </c:pt>
                <c:pt idx="86">
                  <c:v>1.8009817179902601</c:v>
                </c:pt>
                <c:pt idx="87">
                  <c:v>1.82308180039228</c:v>
                </c:pt>
                <c:pt idx="88">
                  <c:v>1.8483733913004801</c:v>
                </c:pt>
                <c:pt idx="89">
                  <c:v>1.87439497677708</c:v>
                </c:pt>
                <c:pt idx="90">
                  <c:v>1.9091907812231399</c:v>
                </c:pt>
                <c:pt idx="91">
                  <c:v>1.99345844304439</c:v>
                </c:pt>
                <c:pt idx="92">
                  <c:v>2.0597504543180598</c:v>
                </c:pt>
                <c:pt idx="93">
                  <c:v>2.0753751032976901</c:v>
                </c:pt>
                <c:pt idx="94">
                  <c:v>2.0828929075047999</c:v>
                </c:pt>
                <c:pt idx="95">
                  <c:v>2.03953938554241</c:v>
                </c:pt>
                <c:pt idx="96">
                  <c:v>1.9664159532848</c:v>
                </c:pt>
                <c:pt idx="97">
                  <c:v>1.87340366424252</c:v>
                </c:pt>
                <c:pt idx="98">
                  <c:v>1.77968342061931</c:v>
                </c:pt>
                <c:pt idx="99">
                  <c:v>1.71506889188487</c:v>
                </c:pt>
                <c:pt idx="100">
                  <c:v>1.6623872911361599</c:v>
                </c:pt>
                <c:pt idx="101">
                  <c:v>1.62575532718894</c:v>
                </c:pt>
                <c:pt idx="102">
                  <c:v>1.6160968518869601</c:v>
                </c:pt>
                <c:pt idx="103">
                  <c:v>1.59102011814952</c:v>
                </c:pt>
                <c:pt idx="104">
                  <c:v>1.5906562874710699</c:v>
                </c:pt>
                <c:pt idx="105">
                  <c:v>1.6180759533053799</c:v>
                </c:pt>
                <c:pt idx="106">
                  <c:v>1.61760814019303</c:v>
                </c:pt>
                <c:pt idx="107">
                  <c:v>1.63941608142674</c:v>
                </c:pt>
                <c:pt idx="108">
                  <c:v>1.6549670874122699</c:v>
                </c:pt>
                <c:pt idx="109">
                  <c:v>1.6685582248303401</c:v>
                </c:pt>
                <c:pt idx="110">
                  <c:v>1.6705715198065001</c:v>
                </c:pt>
                <c:pt idx="111">
                  <c:v>1.6905333052296401</c:v>
                </c:pt>
                <c:pt idx="112">
                  <c:v>1.6779357072346399</c:v>
                </c:pt>
                <c:pt idx="113">
                  <c:v>1.6558812330255901</c:v>
                </c:pt>
                <c:pt idx="114">
                  <c:v>1.6177873905832401</c:v>
                </c:pt>
                <c:pt idx="115">
                  <c:v>1.55260109196822</c:v>
                </c:pt>
                <c:pt idx="116">
                  <c:v>1.49481791197942</c:v>
                </c:pt>
                <c:pt idx="117">
                  <c:v>1.4211750543745001</c:v>
                </c:pt>
                <c:pt idx="118">
                  <c:v>1.3558257046514</c:v>
                </c:pt>
                <c:pt idx="119">
                  <c:v>1.3048975343045599</c:v>
                </c:pt>
                <c:pt idx="120">
                  <c:v>1.26657208106592</c:v>
                </c:pt>
                <c:pt idx="121">
                  <c:v>1.2361338523910601</c:v>
                </c:pt>
                <c:pt idx="122">
                  <c:v>1.2005872180825701</c:v>
                </c:pt>
                <c:pt idx="123">
                  <c:v>1.17480624213809</c:v>
                </c:pt>
                <c:pt idx="124">
                  <c:v>1.11501784028498</c:v>
                </c:pt>
                <c:pt idx="125">
                  <c:v>1.0920872988826</c:v>
                </c:pt>
                <c:pt idx="126">
                  <c:v>1.09480504846288</c:v>
                </c:pt>
                <c:pt idx="127">
                  <c:v>1.0863198342128999</c:v>
                </c:pt>
                <c:pt idx="128">
                  <c:v>1.1067411182940601</c:v>
                </c:pt>
                <c:pt idx="129">
                  <c:v>1.12040965520806</c:v>
                </c:pt>
                <c:pt idx="130">
                  <c:v>1.1341737843823401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3-467A-B24E-9598A5B4FBFD}"/>
            </c:ext>
          </c:extLst>
        </c:ser>
        <c:ser>
          <c:idx val="2"/>
          <c:order val="2"/>
          <c:tx>
            <c:strRef>
              <c:f>'Graf 22'!$E$6</c:f>
              <c:strCache>
                <c:ptCount val="1"/>
                <c:pt idx="0">
                  <c:v>10-year yield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22'!$B$7:$B$137</c:f>
              <c:numCache>
                <c:formatCode>m/d/yyyy</c:formatCode>
                <c:ptCount val="131"/>
                <c:pt idx="0">
                  <c:v>31137</c:v>
                </c:pt>
                <c:pt idx="1">
                  <c:v>31228</c:v>
                </c:pt>
                <c:pt idx="2">
                  <c:v>31320</c:v>
                </c:pt>
                <c:pt idx="3">
                  <c:v>31412</c:v>
                </c:pt>
                <c:pt idx="4">
                  <c:v>31502</c:v>
                </c:pt>
                <c:pt idx="5">
                  <c:v>31593</c:v>
                </c:pt>
                <c:pt idx="6">
                  <c:v>31685</c:v>
                </c:pt>
                <c:pt idx="7">
                  <c:v>31777</c:v>
                </c:pt>
                <c:pt idx="8">
                  <c:v>31867</c:v>
                </c:pt>
                <c:pt idx="9">
                  <c:v>31958</c:v>
                </c:pt>
                <c:pt idx="10">
                  <c:v>32050</c:v>
                </c:pt>
                <c:pt idx="11">
                  <c:v>32142</c:v>
                </c:pt>
                <c:pt idx="12">
                  <c:v>32233</c:v>
                </c:pt>
                <c:pt idx="13">
                  <c:v>32324</c:v>
                </c:pt>
                <c:pt idx="14">
                  <c:v>32416</c:v>
                </c:pt>
                <c:pt idx="15">
                  <c:v>32508</c:v>
                </c:pt>
                <c:pt idx="16">
                  <c:v>32598</c:v>
                </c:pt>
                <c:pt idx="17">
                  <c:v>32689</c:v>
                </c:pt>
                <c:pt idx="18">
                  <c:v>32781</c:v>
                </c:pt>
                <c:pt idx="19">
                  <c:v>32873</c:v>
                </c:pt>
                <c:pt idx="20">
                  <c:v>32963</c:v>
                </c:pt>
                <c:pt idx="21">
                  <c:v>33054</c:v>
                </c:pt>
                <c:pt idx="22">
                  <c:v>33146</c:v>
                </c:pt>
                <c:pt idx="23">
                  <c:v>33238</c:v>
                </c:pt>
                <c:pt idx="24">
                  <c:v>33328</c:v>
                </c:pt>
                <c:pt idx="25">
                  <c:v>33419</c:v>
                </c:pt>
                <c:pt idx="26">
                  <c:v>33511</c:v>
                </c:pt>
                <c:pt idx="27">
                  <c:v>33603</c:v>
                </c:pt>
                <c:pt idx="28">
                  <c:v>33694</c:v>
                </c:pt>
                <c:pt idx="29">
                  <c:v>33785</c:v>
                </c:pt>
                <c:pt idx="30">
                  <c:v>33877</c:v>
                </c:pt>
                <c:pt idx="31">
                  <c:v>33969</c:v>
                </c:pt>
                <c:pt idx="32">
                  <c:v>34059</c:v>
                </c:pt>
                <c:pt idx="33">
                  <c:v>34150</c:v>
                </c:pt>
                <c:pt idx="34">
                  <c:v>34242</c:v>
                </c:pt>
                <c:pt idx="35">
                  <c:v>34334</c:v>
                </c:pt>
                <c:pt idx="36">
                  <c:v>34424</c:v>
                </c:pt>
                <c:pt idx="37">
                  <c:v>34515</c:v>
                </c:pt>
                <c:pt idx="38">
                  <c:v>34607</c:v>
                </c:pt>
                <c:pt idx="39">
                  <c:v>34699</c:v>
                </c:pt>
                <c:pt idx="40">
                  <c:v>34789</c:v>
                </c:pt>
                <c:pt idx="41">
                  <c:v>34880</c:v>
                </c:pt>
                <c:pt idx="42">
                  <c:v>34972</c:v>
                </c:pt>
                <c:pt idx="43">
                  <c:v>35064</c:v>
                </c:pt>
                <c:pt idx="44">
                  <c:v>35155</c:v>
                </c:pt>
                <c:pt idx="45">
                  <c:v>35246</c:v>
                </c:pt>
                <c:pt idx="46">
                  <c:v>35338</c:v>
                </c:pt>
                <c:pt idx="47">
                  <c:v>35430</c:v>
                </c:pt>
                <c:pt idx="48">
                  <c:v>35520</c:v>
                </c:pt>
                <c:pt idx="49">
                  <c:v>35611</c:v>
                </c:pt>
                <c:pt idx="50">
                  <c:v>35703</c:v>
                </c:pt>
                <c:pt idx="51">
                  <c:v>35795</c:v>
                </c:pt>
                <c:pt idx="52">
                  <c:v>35885</c:v>
                </c:pt>
                <c:pt idx="53">
                  <c:v>35976</c:v>
                </c:pt>
                <c:pt idx="54">
                  <c:v>36068</c:v>
                </c:pt>
                <c:pt idx="55">
                  <c:v>36160</c:v>
                </c:pt>
                <c:pt idx="56">
                  <c:v>36250</c:v>
                </c:pt>
                <c:pt idx="57">
                  <c:v>36341</c:v>
                </c:pt>
                <c:pt idx="58">
                  <c:v>36433</c:v>
                </c:pt>
                <c:pt idx="59">
                  <c:v>36525</c:v>
                </c:pt>
                <c:pt idx="60">
                  <c:v>36616</c:v>
                </c:pt>
                <c:pt idx="61">
                  <c:v>36707</c:v>
                </c:pt>
                <c:pt idx="62">
                  <c:v>36799</c:v>
                </c:pt>
                <c:pt idx="63">
                  <c:v>36891</c:v>
                </c:pt>
                <c:pt idx="64">
                  <c:v>36981</c:v>
                </c:pt>
                <c:pt idx="65">
                  <c:v>37072</c:v>
                </c:pt>
                <c:pt idx="66">
                  <c:v>37164</c:v>
                </c:pt>
                <c:pt idx="67">
                  <c:v>37256</c:v>
                </c:pt>
                <c:pt idx="68">
                  <c:v>37346</c:v>
                </c:pt>
                <c:pt idx="69">
                  <c:v>37437</c:v>
                </c:pt>
                <c:pt idx="70">
                  <c:v>37529</c:v>
                </c:pt>
                <c:pt idx="71">
                  <c:v>37621</c:v>
                </c:pt>
                <c:pt idx="72">
                  <c:v>37711</c:v>
                </c:pt>
                <c:pt idx="73">
                  <c:v>37802</c:v>
                </c:pt>
                <c:pt idx="74">
                  <c:v>37894</c:v>
                </c:pt>
                <c:pt idx="75">
                  <c:v>37986</c:v>
                </c:pt>
                <c:pt idx="76">
                  <c:v>38077</c:v>
                </c:pt>
                <c:pt idx="77">
                  <c:v>38168</c:v>
                </c:pt>
                <c:pt idx="78">
                  <c:v>38260</c:v>
                </c:pt>
                <c:pt idx="79">
                  <c:v>38352</c:v>
                </c:pt>
                <c:pt idx="80">
                  <c:v>38442</c:v>
                </c:pt>
                <c:pt idx="81">
                  <c:v>38533</c:v>
                </c:pt>
                <c:pt idx="82">
                  <c:v>38625</c:v>
                </c:pt>
                <c:pt idx="83">
                  <c:v>38717</c:v>
                </c:pt>
                <c:pt idx="84">
                  <c:v>38807</c:v>
                </c:pt>
                <c:pt idx="85">
                  <c:v>38898</c:v>
                </c:pt>
                <c:pt idx="86">
                  <c:v>38990</c:v>
                </c:pt>
                <c:pt idx="87">
                  <c:v>39082</c:v>
                </c:pt>
                <c:pt idx="88">
                  <c:v>39172</c:v>
                </c:pt>
                <c:pt idx="89">
                  <c:v>39263</c:v>
                </c:pt>
                <c:pt idx="90">
                  <c:v>39355</c:v>
                </c:pt>
                <c:pt idx="91">
                  <c:v>39447</c:v>
                </c:pt>
                <c:pt idx="92">
                  <c:v>39538</c:v>
                </c:pt>
                <c:pt idx="93">
                  <c:v>39629</c:v>
                </c:pt>
                <c:pt idx="94">
                  <c:v>39721</c:v>
                </c:pt>
                <c:pt idx="95">
                  <c:v>39813</c:v>
                </c:pt>
                <c:pt idx="96">
                  <c:v>39903</c:v>
                </c:pt>
                <c:pt idx="97">
                  <c:v>39994</c:v>
                </c:pt>
                <c:pt idx="98">
                  <c:v>40086</c:v>
                </c:pt>
                <c:pt idx="99">
                  <c:v>40178</c:v>
                </c:pt>
                <c:pt idx="100">
                  <c:v>40268</c:v>
                </c:pt>
                <c:pt idx="101">
                  <c:v>40359</c:v>
                </c:pt>
                <c:pt idx="102">
                  <c:v>40451</c:v>
                </c:pt>
                <c:pt idx="103">
                  <c:v>40543</c:v>
                </c:pt>
                <c:pt idx="104">
                  <c:v>40633</c:v>
                </c:pt>
                <c:pt idx="105">
                  <c:v>40724</c:v>
                </c:pt>
                <c:pt idx="106">
                  <c:v>40816</c:v>
                </c:pt>
                <c:pt idx="107">
                  <c:v>40908</c:v>
                </c:pt>
                <c:pt idx="108">
                  <c:v>40999</c:v>
                </c:pt>
                <c:pt idx="109">
                  <c:v>41090</c:v>
                </c:pt>
                <c:pt idx="110">
                  <c:v>41182</c:v>
                </c:pt>
                <c:pt idx="111">
                  <c:v>41274</c:v>
                </c:pt>
                <c:pt idx="112">
                  <c:v>41364</c:v>
                </c:pt>
                <c:pt idx="113">
                  <c:v>41455</c:v>
                </c:pt>
                <c:pt idx="114">
                  <c:v>41547</c:v>
                </c:pt>
                <c:pt idx="115">
                  <c:v>41639</c:v>
                </c:pt>
                <c:pt idx="116">
                  <c:v>41729</c:v>
                </c:pt>
                <c:pt idx="117">
                  <c:v>41820</c:v>
                </c:pt>
                <c:pt idx="118">
                  <c:v>41912</c:v>
                </c:pt>
                <c:pt idx="119">
                  <c:v>42004</c:v>
                </c:pt>
                <c:pt idx="120">
                  <c:v>42094</c:v>
                </c:pt>
                <c:pt idx="121">
                  <c:v>42185</c:v>
                </c:pt>
                <c:pt idx="122">
                  <c:v>42277</c:v>
                </c:pt>
                <c:pt idx="123">
                  <c:v>42369</c:v>
                </c:pt>
                <c:pt idx="124">
                  <c:v>42460</c:v>
                </c:pt>
                <c:pt idx="125">
                  <c:v>42551</c:v>
                </c:pt>
                <c:pt idx="126">
                  <c:v>42643</c:v>
                </c:pt>
                <c:pt idx="127">
                  <c:v>42735</c:v>
                </c:pt>
                <c:pt idx="128">
                  <c:v>42825</c:v>
                </c:pt>
                <c:pt idx="129">
                  <c:v>42916</c:v>
                </c:pt>
                <c:pt idx="130">
                  <c:v>43008</c:v>
                </c:pt>
              </c:numCache>
            </c:numRef>
          </c:cat>
          <c:val>
            <c:numRef>
              <c:f>'Graf 22'!$E$7:$E$137</c:f>
              <c:numCache>
                <c:formatCode>0.00</c:formatCode>
                <c:ptCount val="131"/>
                <c:pt idx="0">
                  <c:v>7.51</c:v>
                </c:pt>
                <c:pt idx="1">
                  <c:v>7.17</c:v>
                </c:pt>
                <c:pt idx="2">
                  <c:v>6.71</c:v>
                </c:pt>
                <c:pt idx="3">
                  <c:v>6.69</c:v>
                </c:pt>
                <c:pt idx="4">
                  <c:v>6.02</c:v>
                </c:pt>
                <c:pt idx="5">
                  <c:v>6.15</c:v>
                </c:pt>
                <c:pt idx="6">
                  <c:v>6.3</c:v>
                </c:pt>
                <c:pt idx="7">
                  <c:v>6.24</c:v>
                </c:pt>
                <c:pt idx="8">
                  <c:v>5.99</c:v>
                </c:pt>
                <c:pt idx="9">
                  <c:v>6.48</c:v>
                </c:pt>
                <c:pt idx="10">
                  <c:v>7.15</c:v>
                </c:pt>
                <c:pt idx="11">
                  <c:v>6.81</c:v>
                </c:pt>
                <c:pt idx="12">
                  <c:v>6.6</c:v>
                </c:pt>
                <c:pt idx="13">
                  <c:v>6.97</c:v>
                </c:pt>
                <c:pt idx="14">
                  <c:v>6.78</c:v>
                </c:pt>
                <c:pt idx="15">
                  <c:v>6.75</c:v>
                </c:pt>
                <c:pt idx="16">
                  <c:v>7.04</c:v>
                </c:pt>
                <c:pt idx="17">
                  <c:v>6.85</c:v>
                </c:pt>
                <c:pt idx="18">
                  <c:v>7.02</c:v>
                </c:pt>
                <c:pt idx="19">
                  <c:v>7.38</c:v>
                </c:pt>
                <c:pt idx="20">
                  <c:v>8.5</c:v>
                </c:pt>
                <c:pt idx="21">
                  <c:v>8.7799999999999994</c:v>
                </c:pt>
                <c:pt idx="22">
                  <c:v>9.23</c:v>
                </c:pt>
                <c:pt idx="23">
                  <c:v>9.09</c:v>
                </c:pt>
                <c:pt idx="24">
                  <c:v>8.4700000000000006</c:v>
                </c:pt>
                <c:pt idx="25">
                  <c:v>8.41</c:v>
                </c:pt>
                <c:pt idx="26">
                  <c:v>8.26</c:v>
                </c:pt>
                <c:pt idx="27">
                  <c:v>7.91</c:v>
                </c:pt>
                <c:pt idx="28">
                  <c:v>7.73</c:v>
                </c:pt>
                <c:pt idx="29">
                  <c:v>7.92</c:v>
                </c:pt>
                <c:pt idx="30">
                  <c:v>7.46</c:v>
                </c:pt>
                <c:pt idx="31">
                  <c:v>7.06</c:v>
                </c:pt>
                <c:pt idx="32">
                  <c:v>6.75</c:v>
                </c:pt>
                <c:pt idx="33">
                  <c:v>6.73</c:v>
                </c:pt>
                <c:pt idx="34">
                  <c:v>6.24</c:v>
                </c:pt>
                <c:pt idx="35">
                  <c:v>5.84</c:v>
                </c:pt>
                <c:pt idx="36">
                  <c:v>6.67</c:v>
                </c:pt>
                <c:pt idx="37">
                  <c:v>7.29</c:v>
                </c:pt>
                <c:pt idx="38">
                  <c:v>7.81</c:v>
                </c:pt>
                <c:pt idx="39">
                  <c:v>7.81</c:v>
                </c:pt>
                <c:pt idx="40">
                  <c:v>7.48</c:v>
                </c:pt>
                <c:pt idx="41">
                  <c:v>7.35</c:v>
                </c:pt>
                <c:pt idx="42">
                  <c:v>7.08</c:v>
                </c:pt>
                <c:pt idx="43">
                  <c:v>6.4</c:v>
                </c:pt>
                <c:pt idx="44">
                  <c:v>6.81</c:v>
                </c:pt>
                <c:pt idx="45">
                  <c:v>6.9</c:v>
                </c:pt>
                <c:pt idx="46">
                  <c:v>6.45</c:v>
                </c:pt>
                <c:pt idx="47">
                  <c:v>6.18</c:v>
                </c:pt>
                <c:pt idx="48">
                  <c:v>6.18</c:v>
                </c:pt>
                <c:pt idx="49">
                  <c:v>5.96</c:v>
                </c:pt>
                <c:pt idx="50">
                  <c:v>5.72</c:v>
                </c:pt>
                <c:pt idx="51">
                  <c:v>5.48</c:v>
                </c:pt>
                <c:pt idx="52">
                  <c:v>5.0599999999999996</c:v>
                </c:pt>
                <c:pt idx="53">
                  <c:v>5</c:v>
                </c:pt>
                <c:pt idx="54">
                  <c:v>4.18</c:v>
                </c:pt>
                <c:pt idx="55">
                  <c:v>4.0999999999999996</c:v>
                </c:pt>
                <c:pt idx="56">
                  <c:v>4.25</c:v>
                </c:pt>
                <c:pt idx="57">
                  <c:v>4.76</c:v>
                </c:pt>
                <c:pt idx="58">
                  <c:v>5.34</c:v>
                </c:pt>
                <c:pt idx="59">
                  <c:v>5.46</c:v>
                </c:pt>
                <c:pt idx="60">
                  <c:v>5.32</c:v>
                </c:pt>
                <c:pt idx="61">
                  <c:v>5.34</c:v>
                </c:pt>
                <c:pt idx="62">
                  <c:v>5.31</c:v>
                </c:pt>
                <c:pt idx="63">
                  <c:v>4.96</c:v>
                </c:pt>
                <c:pt idx="64">
                  <c:v>4.82</c:v>
                </c:pt>
                <c:pt idx="65">
                  <c:v>5.22</c:v>
                </c:pt>
                <c:pt idx="66">
                  <c:v>4.99</c:v>
                </c:pt>
                <c:pt idx="67">
                  <c:v>5.12</c:v>
                </c:pt>
                <c:pt idx="68">
                  <c:v>5.35</c:v>
                </c:pt>
                <c:pt idx="69">
                  <c:v>5.07</c:v>
                </c:pt>
                <c:pt idx="70">
                  <c:v>4.4800000000000004</c:v>
                </c:pt>
                <c:pt idx="71">
                  <c:v>4.4000000000000004</c:v>
                </c:pt>
                <c:pt idx="72">
                  <c:v>4.25</c:v>
                </c:pt>
                <c:pt idx="73">
                  <c:v>4.09</c:v>
                </c:pt>
                <c:pt idx="74">
                  <c:v>4.26</c:v>
                </c:pt>
                <c:pt idx="75">
                  <c:v>4.4800000000000004</c:v>
                </c:pt>
                <c:pt idx="76">
                  <c:v>4.18</c:v>
                </c:pt>
                <c:pt idx="77">
                  <c:v>4.49</c:v>
                </c:pt>
                <c:pt idx="78">
                  <c:v>4.13</c:v>
                </c:pt>
                <c:pt idx="79">
                  <c:v>3.79</c:v>
                </c:pt>
                <c:pt idx="80">
                  <c:v>3.78</c:v>
                </c:pt>
                <c:pt idx="81">
                  <c:v>3.24</c:v>
                </c:pt>
                <c:pt idx="82">
                  <c:v>3.26</c:v>
                </c:pt>
                <c:pt idx="83">
                  <c:v>3.34</c:v>
                </c:pt>
                <c:pt idx="84">
                  <c:v>3.84</c:v>
                </c:pt>
                <c:pt idx="85">
                  <c:v>4.17</c:v>
                </c:pt>
                <c:pt idx="86">
                  <c:v>3.73</c:v>
                </c:pt>
                <c:pt idx="87">
                  <c:v>3.99</c:v>
                </c:pt>
                <c:pt idx="88">
                  <c:v>4.1100000000000003</c:v>
                </c:pt>
                <c:pt idx="89">
                  <c:v>4.6100000000000003</c:v>
                </c:pt>
                <c:pt idx="90">
                  <c:v>4.43</c:v>
                </c:pt>
                <c:pt idx="91">
                  <c:v>4.46</c:v>
                </c:pt>
                <c:pt idx="92">
                  <c:v>4.12</c:v>
                </c:pt>
                <c:pt idx="93">
                  <c:v>4.72</c:v>
                </c:pt>
                <c:pt idx="94">
                  <c:v>4.25</c:v>
                </c:pt>
                <c:pt idx="95">
                  <c:v>3.28</c:v>
                </c:pt>
                <c:pt idx="96">
                  <c:v>3.43</c:v>
                </c:pt>
                <c:pt idx="97">
                  <c:v>3.74</c:v>
                </c:pt>
                <c:pt idx="98">
                  <c:v>3.49</c:v>
                </c:pt>
                <c:pt idx="99">
                  <c:v>3.63</c:v>
                </c:pt>
                <c:pt idx="100">
                  <c:v>3.37</c:v>
                </c:pt>
                <c:pt idx="101">
                  <c:v>2.82</c:v>
                </c:pt>
                <c:pt idx="102">
                  <c:v>2.42</c:v>
                </c:pt>
                <c:pt idx="103">
                  <c:v>3.19</c:v>
                </c:pt>
                <c:pt idx="104">
                  <c:v>3.54</c:v>
                </c:pt>
                <c:pt idx="105">
                  <c:v>3.16</c:v>
                </c:pt>
                <c:pt idx="106">
                  <c:v>2.11</c:v>
                </c:pt>
                <c:pt idx="107">
                  <c:v>1.99</c:v>
                </c:pt>
                <c:pt idx="108">
                  <c:v>1.99</c:v>
                </c:pt>
                <c:pt idx="109">
                  <c:v>1.73</c:v>
                </c:pt>
                <c:pt idx="110">
                  <c:v>1.54</c:v>
                </c:pt>
                <c:pt idx="111">
                  <c:v>1.38</c:v>
                </c:pt>
                <c:pt idx="112">
                  <c:v>1.32</c:v>
                </c:pt>
                <c:pt idx="113">
                  <c:v>1.76</c:v>
                </c:pt>
                <c:pt idx="114">
                  <c:v>1.82</c:v>
                </c:pt>
                <c:pt idx="115">
                  <c:v>2.11</c:v>
                </c:pt>
                <c:pt idx="116">
                  <c:v>1.65</c:v>
                </c:pt>
                <c:pt idx="117">
                  <c:v>1.31</c:v>
                </c:pt>
                <c:pt idx="118">
                  <c:v>0.99</c:v>
                </c:pt>
                <c:pt idx="119">
                  <c:v>0.6</c:v>
                </c:pt>
                <c:pt idx="120">
                  <c:v>0.22</c:v>
                </c:pt>
                <c:pt idx="121">
                  <c:v>0.86</c:v>
                </c:pt>
                <c:pt idx="122">
                  <c:v>0.61</c:v>
                </c:pt>
                <c:pt idx="123">
                  <c:v>0.7</c:v>
                </c:pt>
                <c:pt idx="124">
                  <c:v>0.13</c:v>
                </c:pt>
                <c:pt idx="125">
                  <c:v>-0.14000000000000001</c:v>
                </c:pt>
                <c:pt idx="126">
                  <c:v>-0.21</c:v>
                </c:pt>
                <c:pt idx="127">
                  <c:v>0.22</c:v>
                </c:pt>
                <c:pt idx="128">
                  <c:v>0.33</c:v>
                </c:pt>
                <c:pt idx="129">
                  <c:v>0.48</c:v>
                </c:pt>
                <c:pt idx="130">
                  <c:v>0.46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D3-467A-B24E-9598A5B4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576728"/>
        <c:axId val="932025056"/>
      </c:lineChart>
      <c:dateAx>
        <c:axId val="913576728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32025056"/>
        <c:crosses val="autoZero"/>
        <c:auto val="1"/>
        <c:lblOffset val="100"/>
        <c:baseTimeUnit val="months"/>
        <c:majorUnit val="48"/>
        <c:majorTimeUnit val="months"/>
      </c:dateAx>
      <c:valAx>
        <c:axId val="932025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13576728"/>
        <c:crosses val="autoZero"/>
        <c:crossBetween val="between"/>
      </c:valAx>
      <c:spPr>
        <a:solidFill>
          <a:schemeClr val="bg1"/>
        </a:solidFill>
        <a:ln>
          <a:noFill/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v>Štátne záruky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36-41E2-8C3B-E05CA331EE8A}"/>
              </c:ext>
            </c:extLst>
          </c:dPt>
          <c:cat>
            <c:strRef>
              <c:f>'Graf 23+24+25+26'!$A$36:$A$63</c:f>
              <c:strCache>
                <c:ptCount val="28"/>
                <c:pt idx="0">
                  <c:v>FI</c:v>
                </c:pt>
                <c:pt idx="1">
                  <c:v>AT</c:v>
                </c:pt>
                <c:pt idx="2">
                  <c:v>D</c:v>
                </c:pt>
                <c:pt idx="3">
                  <c:v>MT</c:v>
                </c:pt>
                <c:pt idx="4">
                  <c:v>LU</c:v>
                </c:pt>
                <c:pt idx="5">
                  <c:v>BE</c:v>
                </c:pt>
                <c:pt idx="6">
                  <c:v>SE</c:v>
                </c:pt>
                <c:pt idx="7">
                  <c:v>DK</c:v>
                </c:pt>
                <c:pt idx="8">
                  <c:v>SI</c:v>
                </c:pt>
                <c:pt idx="9">
                  <c:v>CY</c:v>
                </c:pt>
                <c:pt idx="10">
                  <c:v>UK</c:v>
                </c:pt>
                <c:pt idx="11">
                  <c:v>HU</c:v>
                </c:pt>
                <c:pt idx="12">
                  <c:v>ES</c:v>
                </c:pt>
                <c:pt idx="13">
                  <c:v>PL</c:v>
                </c:pt>
                <c:pt idx="14">
                  <c:v>EL</c:v>
                </c:pt>
                <c:pt idx="15">
                  <c:v>PT</c:v>
                </c:pt>
                <c:pt idx="16">
                  <c:v>FR</c:v>
                </c:pt>
                <c:pt idx="17">
                  <c:v>NL</c:v>
                </c:pt>
                <c:pt idx="18">
                  <c:v>HR</c:v>
                </c:pt>
                <c:pt idx="19">
                  <c:v>IT</c:v>
                </c:pt>
                <c:pt idx="20">
                  <c:v>RO</c:v>
                </c:pt>
                <c:pt idx="21">
                  <c:v>IE</c:v>
                </c:pt>
                <c:pt idx="22">
                  <c:v>EE</c:v>
                </c:pt>
                <c:pt idx="23">
                  <c:v>LV</c:v>
                </c:pt>
                <c:pt idx="24">
                  <c:v>LT</c:v>
                </c:pt>
                <c:pt idx="25">
                  <c:v>BG</c:v>
                </c:pt>
                <c:pt idx="26">
                  <c:v>CZ</c:v>
                </c:pt>
                <c:pt idx="27">
                  <c:v>SK</c:v>
                </c:pt>
              </c:strCache>
            </c:strRef>
          </c:cat>
          <c:val>
            <c:numRef>
              <c:f>'Graf 23+24+25+26'!$D$36:$D$63</c:f>
              <c:numCache>
                <c:formatCode>0.0</c:formatCode>
                <c:ptCount val="28"/>
                <c:pt idx="0" formatCode="0.00">
                  <c:v>28</c:v>
                </c:pt>
                <c:pt idx="1">
                  <c:v>20.5</c:v>
                </c:pt>
                <c:pt idx="2">
                  <c:v>14.3</c:v>
                </c:pt>
                <c:pt idx="3">
                  <c:v>14.1</c:v>
                </c:pt>
                <c:pt idx="4">
                  <c:v>12.9</c:v>
                </c:pt>
                <c:pt idx="5">
                  <c:v>10.9</c:v>
                </c:pt>
                <c:pt idx="6">
                  <c:v>10.5</c:v>
                </c:pt>
                <c:pt idx="7">
                  <c:v>9.9</c:v>
                </c:pt>
                <c:pt idx="8">
                  <c:v>9.6</c:v>
                </c:pt>
                <c:pt idx="9">
                  <c:v>9.4</c:v>
                </c:pt>
                <c:pt idx="10">
                  <c:v>8.3000000000000007</c:v>
                </c:pt>
                <c:pt idx="11">
                  <c:v>8.1</c:v>
                </c:pt>
                <c:pt idx="12">
                  <c:v>7.7</c:v>
                </c:pt>
                <c:pt idx="13">
                  <c:v>7.1</c:v>
                </c:pt>
                <c:pt idx="14">
                  <c:v>6.1</c:v>
                </c:pt>
                <c:pt idx="15">
                  <c:v>5.6</c:v>
                </c:pt>
                <c:pt idx="16">
                  <c:v>5.2</c:v>
                </c:pt>
                <c:pt idx="17">
                  <c:v>3.6999999999999997</c:v>
                </c:pt>
                <c:pt idx="18">
                  <c:v>2.6</c:v>
                </c:pt>
                <c:pt idx="19">
                  <c:v>2.4</c:v>
                </c:pt>
                <c:pt idx="20">
                  <c:v>2.2000000000000002</c:v>
                </c:pt>
                <c:pt idx="21">
                  <c:v>1.9</c:v>
                </c:pt>
                <c:pt idx="22">
                  <c:v>1.5</c:v>
                </c:pt>
                <c:pt idx="23">
                  <c:v>1.4</c:v>
                </c:pt>
                <c:pt idx="24">
                  <c:v>0.89999999999999991</c:v>
                </c:pt>
                <c:pt idx="25">
                  <c:v>0.5</c:v>
                </c:pt>
                <c:pt idx="26">
                  <c:v>0.3</c:v>
                </c:pt>
                <c:pt idx="27">
                  <c:v>0.03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36-41E2-8C3B-E05CA331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2025840"/>
        <c:axId val="93202623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23+24+25+26'!$B$32:$B$33</c15:sqref>
                        </c15:formulaRef>
                      </c:ext>
                    </c:extLst>
                    <c:strCache>
                      <c:ptCount val="2"/>
                      <c:pt idx="0">
                        <c:v>Štátne záruky</c:v>
                      </c:pt>
                      <c:pt idx="1">
                        <c:v>Jednorazové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23+24+25+26'!$A$36:$A$63</c15:sqref>
                        </c15:formulaRef>
                      </c:ext>
                    </c:extLst>
                    <c:strCache>
                      <c:ptCount val="28"/>
                      <c:pt idx="0">
                        <c:v>FI</c:v>
                      </c:pt>
                      <c:pt idx="1">
                        <c:v>AT</c:v>
                      </c:pt>
                      <c:pt idx="2">
                        <c:v>D</c:v>
                      </c:pt>
                      <c:pt idx="3">
                        <c:v>MT</c:v>
                      </c:pt>
                      <c:pt idx="4">
                        <c:v>LU</c:v>
                      </c:pt>
                      <c:pt idx="5">
                        <c:v>BE</c:v>
                      </c:pt>
                      <c:pt idx="6">
                        <c:v>SE</c:v>
                      </c:pt>
                      <c:pt idx="7">
                        <c:v>DK</c:v>
                      </c:pt>
                      <c:pt idx="8">
                        <c:v>SI</c:v>
                      </c:pt>
                      <c:pt idx="9">
                        <c:v>CY</c:v>
                      </c:pt>
                      <c:pt idx="10">
                        <c:v>UK</c:v>
                      </c:pt>
                      <c:pt idx="11">
                        <c:v>HU</c:v>
                      </c:pt>
                      <c:pt idx="12">
                        <c:v>ES</c:v>
                      </c:pt>
                      <c:pt idx="13">
                        <c:v>PL</c:v>
                      </c:pt>
                      <c:pt idx="14">
                        <c:v>EL</c:v>
                      </c:pt>
                      <c:pt idx="15">
                        <c:v>PT</c:v>
                      </c:pt>
                      <c:pt idx="16">
                        <c:v>FR</c:v>
                      </c:pt>
                      <c:pt idx="17">
                        <c:v>NL</c:v>
                      </c:pt>
                      <c:pt idx="18">
                        <c:v>HR</c:v>
                      </c:pt>
                      <c:pt idx="19">
                        <c:v>IT</c:v>
                      </c:pt>
                      <c:pt idx="20">
                        <c:v>RO</c:v>
                      </c:pt>
                      <c:pt idx="21">
                        <c:v>IE</c:v>
                      </c:pt>
                      <c:pt idx="22">
                        <c:v>EE</c:v>
                      </c:pt>
                      <c:pt idx="23">
                        <c:v>LV</c:v>
                      </c:pt>
                      <c:pt idx="24">
                        <c:v>LT</c:v>
                      </c:pt>
                      <c:pt idx="25">
                        <c:v>BG</c:v>
                      </c:pt>
                      <c:pt idx="26">
                        <c:v>CZ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23+24+25+26'!$B$36:$B$63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27</c:v>
                      </c:pt>
                      <c:pt idx="1">
                        <c:v>20.5</c:v>
                      </c:pt>
                      <c:pt idx="2">
                        <c:v>14.3</c:v>
                      </c:pt>
                      <c:pt idx="3">
                        <c:v>14.1</c:v>
                      </c:pt>
                      <c:pt idx="4">
                        <c:v>12</c:v>
                      </c:pt>
                      <c:pt idx="5">
                        <c:v>10.3</c:v>
                      </c:pt>
                      <c:pt idx="6">
                        <c:v>10.5</c:v>
                      </c:pt>
                      <c:pt idx="7">
                        <c:v>9.9</c:v>
                      </c:pt>
                      <c:pt idx="8">
                        <c:v>9.6</c:v>
                      </c:pt>
                      <c:pt idx="9">
                        <c:v>9.1</c:v>
                      </c:pt>
                      <c:pt idx="10">
                        <c:v>8.3000000000000007</c:v>
                      </c:pt>
                      <c:pt idx="11">
                        <c:v>7.9</c:v>
                      </c:pt>
                      <c:pt idx="12">
                        <c:v>7.7</c:v>
                      </c:pt>
                      <c:pt idx="13">
                        <c:v>6.5</c:v>
                      </c:pt>
                      <c:pt idx="14">
                        <c:v>6.1</c:v>
                      </c:pt>
                      <c:pt idx="15">
                        <c:v>5.6</c:v>
                      </c:pt>
                      <c:pt idx="16">
                        <c:v>3</c:v>
                      </c:pt>
                      <c:pt idx="17">
                        <c:v>3.3</c:v>
                      </c:pt>
                      <c:pt idx="18">
                        <c:v>2.6</c:v>
                      </c:pt>
                      <c:pt idx="19">
                        <c:v>1.2</c:v>
                      </c:pt>
                      <c:pt idx="20">
                        <c:v>0.4</c:v>
                      </c:pt>
                      <c:pt idx="21">
                        <c:v>1.9</c:v>
                      </c:pt>
                      <c:pt idx="22">
                        <c:v>0</c:v>
                      </c:pt>
                      <c:pt idx="23">
                        <c:v>0.9</c:v>
                      </c:pt>
                      <c:pt idx="24">
                        <c:v>0.2</c:v>
                      </c:pt>
                      <c:pt idx="25">
                        <c:v>0.4</c:v>
                      </c:pt>
                      <c:pt idx="26">
                        <c:v>0.3</c:v>
                      </c:pt>
                      <c:pt idx="27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C936-41E2-8C3B-E05CA331EE8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23+24+25+26'!$C$32:$C$33</c15:sqref>
                        </c15:formulaRef>
                      </c:ext>
                    </c:extLst>
                    <c:strCache>
                      <c:ptCount val="2"/>
                      <c:pt idx="0">
                        <c:v>Štátne záruky</c:v>
                      </c:pt>
                      <c:pt idx="1">
                        <c:v>Štandardné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23+24+25+26'!$A$36:$A$63</c15:sqref>
                        </c15:formulaRef>
                      </c:ext>
                    </c:extLst>
                    <c:strCache>
                      <c:ptCount val="28"/>
                      <c:pt idx="0">
                        <c:v>FI</c:v>
                      </c:pt>
                      <c:pt idx="1">
                        <c:v>AT</c:v>
                      </c:pt>
                      <c:pt idx="2">
                        <c:v>D</c:v>
                      </c:pt>
                      <c:pt idx="3">
                        <c:v>MT</c:v>
                      </c:pt>
                      <c:pt idx="4">
                        <c:v>LU</c:v>
                      </c:pt>
                      <c:pt idx="5">
                        <c:v>BE</c:v>
                      </c:pt>
                      <c:pt idx="6">
                        <c:v>SE</c:v>
                      </c:pt>
                      <c:pt idx="7">
                        <c:v>DK</c:v>
                      </c:pt>
                      <c:pt idx="8">
                        <c:v>SI</c:v>
                      </c:pt>
                      <c:pt idx="9">
                        <c:v>CY</c:v>
                      </c:pt>
                      <c:pt idx="10">
                        <c:v>UK</c:v>
                      </c:pt>
                      <c:pt idx="11">
                        <c:v>HU</c:v>
                      </c:pt>
                      <c:pt idx="12">
                        <c:v>ES</c:v>
                      </c:pt>
                      <c:pt idx="13">
                        <c:v>PL</c:v>
                      </c:pt>
                      <c:pt idx="14">
                        <c:v>EL</c:v>
                      </c:pt>
                      <c:pt idx="15">
                        <c:v>PT</c:v>
                      </c:pt>
                      <c:pt idx="16">
                        <c:v>FR</c:v>
                      </c:pt>
                      <c:pt idx="17">
                        <c:v>NL</c:v>
                      </c:pt>
                      <c:pt idx="18">
                        <c:v>HR</c:v>
                      </c:pt>
                      <c:pt idx="19">
                        <c:v>IT</c:v>
                      </c:pt>
                      <c:pt idx="20">
                        <c:v>RO</c:v>
                      </c:pt>
                      <c:pt idx="21">
                        <c:v>IE</c:v>
                      </c:pt>
                      <c:pt idx="22">
                        <c:v>EE</c:v>
                      </c:pt>
                      <c:pt idx="23">
                        <c:v>LV</c:v>
                      </c:pt>
                      <c:pt idx="24">
                        <c:v>LT</c:v>
                      </c:pt>
                      <c:pt idx="25">
                        <c:v>BG</c:v>
                      </c:pt>
                      <c:pt idx="26">
                        <c:v>CZ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23+24+25+26'!$C$36:$C$63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1.1000000000000001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0.9</c:v>
                      </c:pt>
                      <c:pt idx="5">
                        <c:v>0.6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0.3</c:v>
                      </c:pt>
                      <c:pt idx="10">
                        <c:v>0.1</c:v>
                      </c:pt>
                      <c:pt idx="11">
                        <c:v>0.2</c:v>
                      </c:pt>
                      <c:pt idx="12">
                        <c:v>0</c:v>
                      </c:pt>
                      <c:pt idx="13">
                        <c:v>0.7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2.2000000000000002</c:v>
                      </c:pt>
                      <c:pt idx="17">
                        <c:v>0.4</c:v>
                      </c:pt>
                      <c:pt idx="18">
                        <c:v>0</c:v>
                      </c:pt>
                      <c:pt idx="19">
                        <c:v>1.2</c:v>
                      </c:pt>
                      <c:pt idx="20">
                        <c:v>1.9</c:v>
                      </c:pt>
                      <c:pt idx="21">
                        <c:v>0</c:v>
                      </c:pt>
                      <c:pt idx="22">
                        <c:v>1.5</c:v>
                      </c:pt>
                      <c:pt idx="23">
                        <c:v>0.5</c:v>
                      </c:pt>
                      <c:pt idx="24">
                        <c:v>0.7</c:v>
                      </c:pt>
                      <c:pt idx="25">
                        <c:v>0.1</c:v>
                      </c:pt>
                      <c:pt idx="26">
                        <c:v>0</c:v>
                      </c:pt>
                      <c:pt idx="27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C936-41E2-8C3B-E05CA331EE8A}"/>
                  </c:ext>
                </c:extLst>
              </c15:ser>
            </c15:filteredBarSeries>
          </c:ext>
        </c:extLst>
      </c:barChart>
      <c:catAx>
        <c:axId val="9320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026232"/>
        <c:crosses val="autoZero"/>
        <c:auto val="1"/>
        <c:lblAlgn val="ctr"/>
        <c:lblOffset val="100"/>
        <c:noMultiLvlLbl val="0"/>
      </c:catAx>
      <c:valAx>
        <c:axId val="93202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02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Záväzky mimo súvahy štátu (PPP)</c:v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BF-4E6E-988C-95E33BC0A1AD}"/>
              </c:ext>
            </c:extLst>
          </c:dPt>
          <c:cat>
            <c:strRef>
              <c:f>'Graf 23+24+25+26'!$E$36:$E$63</c:f>
              <c:strCache>
                <c:ptCount val="28"/>
                <c:pt idx="0">
                  <c:v>PT</c:v>
                </c:pt>
                <c:pt idx="1">
                  <c:v>SK</c:v>
                </c:pt>
                <c:pt idx="2">
                  <c:v>HU</c:v>
                </c:pt>
                <c:pt idx="3">
                  <c:v>UK</c:v>
                </c:pt>
                <c:pt idx="4">
                  <c:v>CY</c:v>
                </c:pt>
                <c:pt idx="5">
                  <c:v>IE</c:v>
                </c:pt>
                <c:pt idx="6">
                  <c:v>NL</c:v>
                </c:pt>
                <c:pt idx="7">
                  <c:v>ES</c:v>
                </c:pt>
                <c:pt idx="8">
                  <c:v>DK</c:v>
                </c:pt>
                <c:pt idx="9">
                  <c:v>BE</c:v>
                </c:pt>
                <c:pt idx="10">
                  <c:v>EL</c:v>
                </c:pt>
                <c:pt idx="11">
                  <c:v>EE</c:v>
                </c:pt>
                <c:pt idx="12">
                  <c:v>HR</c:v>
                </c:pt>
                <c:pt idx="13">
                  <c:v>AT</c:v>
                </c:pt>
                <c:pt idx="14">
                  <c:v>MT</c:v>
                </c:pt>
                <c:pt idx="15">
                  <c:v>IT</c:v>
                </c:pt>
                <c:pt idx="16">
                  <c:v>FI</c:v>
                </c:pt>
                <c:pt idx="17">
                  <c:v>LV</c:v>
                </c:pt>
                <c:pt idx="18">
                  <c:v>LT</c:v>
                </c:pt>
                <c:pt idx="19">
                  <c:v>BG</c:v>
                </c:pt>
                <c:pt idx="20">
                  <c:v>CZ</c:v>
                </c:pt>
                <c:pt idx="21">
                  <c:v>D</c:v>
                </c:pt>
                <c:pt idx="22">
                  <c:v>FR</c:v>
                </c:pt>
                <c:pt idx="23">
                  <c:v>LU</c:v>
                </c:pt>
                <c:pt idx="24">
                  <c:v>PL</c:v>
                </c:pt>
                <c:pt idx="25">
                  <c:v>RO</c:v>
                </c:pt>
                <c:pt idx="26">
                  <c:v>SI</c:v>
                </c:pt>
                <c:pt idx="27">
                  <c:v>SE</c:v>
                </c:pt>
              </c:strCache>
            </c:strRef>
          </c:cat>
          <c:val>
            <c:numRef>
              <c:f>'Graf 23+24+25+26'!$F$36:$F$63</c:f>
              <c:numCache>
                <c:formatCode>0.0</c:formatCode>
                <c:ptCount val="28"/>
                <c:pt idx="0">
                  <c:v>3.2</c:v>
                </c:pt>
                <c:pt idx="1">
                  <c:v>3.1</c:v>
                </c:pt>
                <c:pt idx="2">
                  <c:v>1.7</c:v>
                </c:pt>
                <c:pt idx="3">
                  <c:v>1.5</c:v>
                </c:pt>
                <c:pt idx="4">
                  <c:v>0.8</c:v>
                </c:pt>
                <c:pt idx="5">
                  <c:v>0.7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0.14599999999999999</c:v>
                </c:pt>
                <c:pt idx="10">
                  <c:v>0.14499999999999999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0.11</c:v>
                </c:pt>
                <c:pt idx="15">
                  <c:v>4.3999999999999997E-2</c:v>
                </c:pt>
                <c:pt idx="16" formatCode="0.00">
                  <c:v>4.2999999999999997E-2</c:v>
                </c:pt>
                <c:pt idx="17">
                  <c:v>0.04</c:v>
                </c:pt>
                <c:pt idx="18">
                  <c:v>3.5000000000000003E-2</c:v>
                </c:pt>
                <c:pt idx="19">
                  <c:v>0.03</c:v>
                </c:pt>
                <c:pt idx="20">
                  <c:v>2.5000000000000001E-2</c:v>
                </c:pt>
                <c:pt idx="21">
                  <c:v>0.02</c:v>
                </c:pt>
                <c:pt idx="22">
                  <c:v>1.4999999999999999E-2</c:v>
                </c:pt>
                <c:pt idx="23">
                  <c:v>1.4E-2</c:v>
                </c:pt>
                <c:pt idx="24">
                  <c:v>0.01</c:v>
                </c:pt>
                <c:pt idx="25">
                  <c:v>8.9999999999999993E-3</c:v>
                </c:pt>
                <c:pt idx="26">
                  <c:v>5.0000000000000001E-3</c:v>
                </c:pt>
                <c:pt idx="27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F-4E6E-988C-95E33BC0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2027016"/>
        <c:axId val="932027408"/>
      </c:barChart>
      <c:catAx>
        <c:axId val="93202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027408"/>
        <c:crosses val="autoZero"/>
        <c:auto val="1"/>
        <c:lblAlgn val="ctr"/>
        <c:lblOffset val="100"/>
        <c:noMultiLvlLbl val="0"/>
      </c:catAx>
      <c:valAx>
        <c:axId val="93202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02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154855643045E-2"/>
          <c:y val="5.0925925925925923E-2"/>
          <c:w val="0.87824956255468067"/>
          <c:h val="0.637444954797317"/>
        </c:manualLayout>
      </c:layout>
      <c:barChart>
        <c:barDir val="col"/>
        <c:grouping val="clustered"/>
        <c:varyColors val="0"/>
        <c:ser>
          <c:idx val="2"/>
          <c:order val="2"/>
          <c:tx>
            <c:v>Záväzky štátnych podnikov</c:v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40-4280-A7F3-82F674EA153E}"/>
              </c:ext>
            </c:extLst>
          </c:dPt>
          <c:cat>
            <c:strRef>
              <c:f>'Graf 23+24+25+26'!$G$36:$G$63</c:f>
              <c:strCache>
                <c:ptCount val="28"/>
                <c:pt idx="0">
                  <c:v>EL</c:v>
                </c:pt>
                <c:pt idx="1">
                  <c:v>NL</c:v>
                </c:pt>
                <c:pt idx="2">
                  <c:v>D</c:v>
                </c:pt>
                <c:pt idx="3">
                  <c:v>CY</c:v>
                </c:pt>
                <c:pt idx="4">
                  <c:v>LU</c:v>
                </c:pt>
                <c:pt idx="5">
                  <c:v>PT</c:v>
                </c:pt>
                <c:pt idx="6">
                  <c:v>FR</c:v>
                </c:pt>
                <c:pt idx="7">
                  <c:v>SI</c:v>
                </c:pt>
                <c:pt idx="8">
                  <c:v>IT</c:v>
                </c:pt>
                <c:pt idx="9">
                  <c:v>BE</c:v>
                </c:pt>
                <c:pt idx="10">
                  <c:v>SE</c:v>
                </c:pt>
                <c:pt idx="11">
                  <c:v>UK</c:v>
                </c:pt>
                <c:pt idx="12">
                  <c:v>IE</c:v>
                </c:pt>
                <c:pt idx="13">
                  <c:v>FI</c:v>
                </c:pt>
                <c:pt idx="14">
                  <c:v>PL</c:v>
                </c:pt>
                <c:pt idx="15">
                  <c:v>DK</c:v>
                </c:pt>
                <c:pt idx="16">
                  <c:v>AT</c:v>
                </c:pt>
                <c:pt idx="17">
                  <c:v>ES</c:v>
                </c:pt>
                <c:pt idx="18">
                  <c:v>LV</c:v>
                </c:pt>
                <c:pt idx="19">
                  <c:v>MT</c:v>
                </c:pt>
                <c:pt idx="20">
                  <c:v>HU</c:v>
                </c:pt>
                <c:pt idx="21">
                  <c:v>EE</c:v>
                </c:pt>
                <c:pt idx="22">
                  <c:v>BG</c:v>
                </c:pt>
                <c:pt idx="23">
                  <c:v>CZ</c:v>
                </c:pt>
                <c:pt idx="24">
                  <c:v>HR</c:v>
                </c:pt>
                <c:pt idx="25">
                  <c:v>RO</c:v>
                </c:pt>
                <c:pt idx="26">
                  <c:v>LT</c:v>
                </c:pt>
                <c:pt idx="27">
                  <c:v>SK</c:v>
                </c:pt>
              </c:strCache>
            </c:strRef>
          </c:cat>
          <c:val>
            <c:numRef>
              <c:f>'Graf 23+24+25+26'!$J$36:$J$63</c:f>
              <c:numCache>
                <c:formatCode>0.0</c:formatCode>
                <c:ptCount val="28"/>
                <c:pt idx="0">
                  <c:v>144.19999999999999</c:v>
                </c:pt>
                <c:pt idx="1">
                  <c:v>103.89999999999999</c:v>
                </c:pt>
                <c:pt idx="2">
                  <c:v>100.7</c:v>
                </c:pt>
                <c:pt idx="3">
                  <c:v>89.8</c:v>
                </c:pt>
                <c:pt idx="4">
                  <c:v>81.5</c:v>
                </c:pt>
                <c:pt idx="5">
                  <c:v>66.2</c:v>
                </c:pt>
                <c:pt idx="6">
                  <c:v>62</c:v>
                </c:pt>
                <c:pt idx="7">
                  <c:v>58.2</c:v>
                </c:pt>
                <c:pt idx="8">
                  <c:v>51.900000000000006</c:v>
                </c:pt>
                <c:pt idx="9">
                  <c:v>51.7</c:v>
                </c:pt>
                <c:pt idx="10">
                  <c:v>43.8</c:v>
                </c:pt>
                <c:pt idx="11">
                  <c:v>42.9</c:v>
                </c:pt>
                <c:pt idx="12">
                  <c:v>42.8</c:v>
                </c:pt>
                <c:pt idx="13" formatCode="0.00">
                  <c:v>42.7</c:v>
                </c:pt>
                <c:pt idx="14">
                  <c:v>34.700000000000003</c:v>
                </c:pt>
                <c:pt idx="15">
                  <c:v>29.1</c:v>
                </c:pt>
                <c:pt idx="16">
                  <c:v>28</c:v>
                </c:pt>
                <c:pt idx="17">
                  <c:v>25.7</c:v>
                </c:pt>
                <c:pt idx="18">
                  <c:v>20.7</c:v>
                </c:pt>
                <c:pt idx="19">
                  <c:v>19.399999999999999</c:v>
                </c:pt>
                <c:pt idx="20">
                  <c:v>14.3</c:v>
                </c:pt>
                <c:pt idx="21">
                  <c:v>13.5</c:v>
                </c:pt>
                <c:pt idx="22">
                  <c:v>13.1</c:v>
                </c:pt>
                <c:pt idx="23">
                  <c:v>10.8</c:v>
                </c:pt>
                <c:pt idx="24">
                  <c:v>10.4</c:v>
                </c:pt>
                <c:pt idx="25">
                  <c:v>7.4</c:v>
                </c:pt>
                <c:pt idx="26">
                  <c:v>5.8999999999999995</c:v>
                </c:pt>
                <c:pt idx="27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40-4280-A7F3-82F674EA1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2028192"/>
        <c:axId val="9320285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23+24+25+26'!$H$32:$H$33</c15:sqref>
                        </c15:formulaRef>
                      </c:ext>
                    </c:extLst>
                    <c:strCache>
                      <c:ptCount val="2"/>
                      <c:pt idx="0">
                        <c:v>Záväzky štátnych podnikov mimo VS</c:v>
                      </c:pt>
                      <c:pt idx="1">
                        <c:v>Finančný sektor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23+24+25+26'!$G$36:$G$63</c15:sqref>
                        </c15:formulaRef>
                      </c:ext>
                    </c:extLst>
                    <c:strCache>
                      <c:ptCount val="28"/>
                      <c:pt idx="0">
                        <c:v>EL</c:v>
                      </c:pt>
                      <c:pt idx="1">
                        <c:v>NL</c:v>
                      </c:pt>
                      <c:pt idx="2">
                        <c:v>D</c:v>
                      </c:pt>
                      <c:pt idx="3">
                        <c:v>CY</c:v>
                      </c:pt>
                      <c:pt idx="4">
                        <c:v>LU</c:v>
                      </c:pt>
                      <c:pt idx="5">
                        <c:v>PT</c:v>
                      </c:pt>
                      <c:pt idx="6">
                        <c:v>FR</c:v>
                      </c:pt>
                      <c:pt idx="7">
                        <c:v>SI</c:v>
                      </c:pt>
                      <c:pt idx="8">
                        <c:v>IT</c:v>
                      </c:pt>
                      <c:pt idx="9">
                        <c:v>BE</c:v>
                      </c:pt>
                      <c:pt idx="10">
                        <c:v>SE</c:v>
                      </c:pt>
                      <c:pt idx="11">
                        <c:v>UK</c:v>
                      </c:pt>
                      <c:pt idx="12">
                        <c:v>IE</c:v>
                      </c:pt>
                      <c:pt idx="13">
                        <c:v>FI</c:v>
                      </c:pt>
                      <c:pt idx="14">
                        <c:v>PL</c:v>
                      </c:pt>
                      <c:pt idx="15">
                        <c:v>DK</c:v>
                      </c:pt>
                      <c:pt idx="16">
                        <c:v>AT</c:v>
                      </c:pt>
                      <c:pt idx="17">
                        <c:v>ES</c:v>
                      </c:pt>
                      <c:pt idx="18">
                        <c:v>LV</c:v>
                      </c:pt>
                      <c:pt idx="19">
                        <c:v>MT</c:v>
                      </c:pt>
                      <c:pt idx="20">
                        <c:v>HU</c:v>
                      </c:pt>
                      <c:pt idx="21">
                        <c:v>EE</c:v>
                      </c:pt>
                      <c:pt idx="22">
                        <c:v>BG</c:v>
                      </c:pt>
                      <c:pt idx="23">
                        <c:v>CZ</c:v>
                      </c:pt>
                      <c:pt idx="24">
                        <c:v>HR</c:v>
                      </c:pt>
                      <c:pt idx="25">
                        <c:v>RO</c:v>
                      </c:pt>
                      <c:pt idx="26">
                        <c:v>LT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23+24+25+26'!$H$36:$H$63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136.1</c:v>
                      </c:pt>
                      <c:pt idx="1">
                        <c:v>88.3</c:v>
                      </c:pt>
                      <c:pt idx="2">
                        <c:v>96.4</c:v>
                      </c:pt>
                      <c:pt idx="3">
                        <c:v>76.2</c:v>
                      </c:pt>
                      <c:pt idx="4">
                        <c:v>74.400000000000006</c:v>
                      </c:pt>
                      <c:pt idx="5">
                        <c:v>62.4</c:v>
                      </c:pt>
                      <c:pt idx="6">
                        <c:v>42.8</c:v>
                      </c:pt>
                      <c:pt idx="7">
                        <c:v>40.1</c:v>
                      </c:pt>
                      <c:pt idx="8">
                        <c:v>29.3</c:v>
                      </c:pt>
                      <c:pt idx="9">
                        <c:v>38</c:v>
                      </c:pt>
                      <c:pt idx="10">
                        <c:v>19.399999999999999</c:v>
                      </c:pt>
                      <c:pt idx="11">
                        <c:v>37.6</c:v>
                      </c:pt>
                      <c:pt idx="12">
                        <c:v>36.4</c:v>
                      </c:pt>
                      <c:pt idx="13">
                        <c:v>20.5</c:v>
                      </c:pt>
                      <c:pt idx="14">
                        <c:v>21.9</c:v>
                      </c:pt>
                      <c:pt idx="15">
                        <c:v>10.9</c:v>
                      </c:pt>
                      <c:pt idx="16">
                        <c:v>14.6</c:v>
                      </c:pt>
                      <c:pt idx="17">
                        <c:v>22.7</c:v>
                      </c:pt>
                      <c:pt idx="19">
                        <c:v>3.2</c:v>
                      </c:pt>
                      <c:pt idx="20">
                        <c:v>9.3000000000000007</c:v>
                      </c:pt>
                      <c:pt idx="21">
                        <c:v>0.1</c:v>
                      </c:pt>
                      <c:pt idx="22">
                        <c:v>5</c:v>
                      </c:pt>
                      <c:pt idx="23">
                        <c:v>0</c:v>
                      </c:pt>
                      <c:pt idx="24">
                        <c:v>5.2</c:v>
                      </c:pt>
                      <c:pt idx="25">
                        <c:v>3.9</c:v>
                      </c:pt>
                      <c:pt idx="26">
                        <c:v>0.1</c:v>
                      </c:pt>
                      <c:pt idx="27">
                        <c:v>0.3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3940-4280-A7F3-82F674EA153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23+24+25+26'!$I$32:$I$33</c15:sqref>
                        </c15:formulaRef>
                      </c:ext>
                    </c:extLst>
                    <c:strCache>
                      <c:ptCount val="2"/>
                      <c:pt idx="0">
                        <c:v>Záväzky štátnych podnikov mimo VS</c:v>
                      </c:pt>
                      <c:pt idx="1">
                        <c:v>Ostatné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23+24+25+26'!$G$36:$G$63</c15:sqref>
                        </c15:formulaRef>
                      </c:ext>
                    </c:extLst>
                    <c:strCache>
                      <c:ptCount val="28"/>
                      <c:pt idx="0">
                        <c:v>EL</c:v>
                      </c:pt>
                      <c:pt idx="1">
                        <c:v>NL</c:v>
                      </c:pt>
                      <c:pt idx="2">
                        <c:v>D</c:v>
                      </c:pt>
                      <c:pt idx="3">
                        <c:v>CY</c:v>
                      </c:pt>
                      <c:pt idx="4">
                        <c:v>LU</c:v>
                      </c:pt>
                      <c:pt idx="5">
                        <c:v>PT</c:v>
                      </c:pt>
                      <c:pt idx="6">
                        <c:v>FR</c:v>
                      </c:pt>
                      <c:pt idx="7">
                        <c:v>SI</c:v>
                      </c:pt>
                      <c:pt idx="8">
                        <c:v>IT</c:v>
                      </c:pt>
                      <c:pt idx="9">
                        <c:v>BE</c:v>
                      </c:pt>
                      <c:pt idx="10">
                        <c:v>SE</c:v>
                      </c:pt>
                      <c:pt idx="11">
                        <c:v>UK</c:v>
                      </c:pt>
                      <c:pt idx="12">
                        <c:v>IE</c:v>
                      </c:pt>
                      <c:pt idx="13">
                        <c:v>FI</c:v>
                      </c:pt>
                      <c:pt idx="14">
                        <c:v>PL</c:v>
                      </c:pt>
                      <c:pt idx="15">
                        <c:v>DK</c:v>
                      </c:pt>
                      <c:pt idx="16">
                        <c:v>AT</c:v>
                      </c:pt>
                      <c:pt idx="17">
                        <c:v>ES</c:v>
                      </c:pt>
                      <c:pt idx="18">
                        <c:v>LV</c:v>
                      </c:pt>
                      <c:pt idx="19">
                        <c:v>MT</c:v>
                      </c:pt>
                      <c:pt idx="20">
                        <c:v>HU</c:v>
                      </c:pt>
                      <c:pt idx="21">
                        <c:v>EE</c:v>
                      </c:pt>
                      <c:pt idx="22">
                        <c:v>BG</c:v>
                      </c:pt>
                      <c:pt idx="23">
                        <c:v>CZ</c:v>
                      </c:pt>
                      <c:pt idx="24">
                        <c:v>HR</c:v>
                      </c:pt>
                      <c:pt idx="25">
                        <c:v>RO</c:v>
                      </c:pt>
                      <c:pt idx="26">
                        <c:v>LT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23+24+25+26'!$I$36:$I$63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8.1</c:v>
                      </c:pt>
                      <c:pt idx="1">
                        <c:v>15.6</c:v>
                      </c:pt>
                      <c:pt idx="2">
                        <c:v>4.3</c:v>
                      </c:pt>
                      <c:pt idx="3">
                        <c:v>13.6</c:v>
                      </c:pt>
                      <c:pt idx="4">
                        <c:v>7.1</c:v>
                      </c:pt>
                      <c:pt idx="5">
                        <c:v>3.9</c:v>
                      </c:pt>
                      <c:pt idx="6">
                        <c:v>19.2</c:v>
                      </c:pt>
                      <c:pt idx="7">
                        <c:v>18.2</c:v>
                      </c:pt>
                      <c:pt idx="8">
                        <c:v>22.6</c:v>
                      </c:pt>
                      <c:pt idx="9">
                        <c:v>13.7</c:v>
                      </c:pt>
                      <c:pt idx="10">
                        <c:v>24.4</c:v>
                      </c:pt>
                      <c:pt idx="11">
                        <c:v>5.4</c:v>
                      </c:pt>
                      <c:pt idx="12">
                        <c:v>6.4</c:v>
                      </c:pt>
                      <c:pt idx="13">
                        <c:v>22.2</c:v>
                      </c:pt>
                      <c:pt idx="14">
                        <c:v>12.8</c:v>
                      </c:pt>
                      <c:pt idx="15">
                        <c:v>18.2</c:v>
                      </c:pt>
                      <c:pt idx="16">
                        <c:v>13.4</c:v>
                      </c:pt>
                      <c:pt idx="17">
                        <c:v>3</c:v>
                      </c:pt>
                      <c:pt idx="18">
                        <c:v>20.7</c:v>
                      </c:pt>
                      <c:pt idx="19">
                        <c:v>16.2</c:v>
                      </c:pt>
                      <c:pt idx="20">
                        <c:v>5</c:v>
                      </c:pt>
                      <c:pt idx="21">
                        <c:v>13.3</c:v>
                      </c:pt>
                      <c:pt idx="22">
                        <c:v>8.1</c:v>
                      </c:pt>
                      <c:pt idx="23">
                        <c:v>10.7</c:v>
                      </c:pt>
                      <c:pt idx="24">
                        <c:v>5.2</c:v>
                      </c:pt>
                      <c:pt idx="25">
                        <c:v>3.5</c:v>
                      </c:pt>
                      <c:pt idx="26">
                        <c:v>5.8</c:v>
                      </c:pt>
                      <c:pt idx="27">
                        <c:v>1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3940-4280-A7F3-82F674EA153E}"/>
                  </c:ext>
                </c:extLst>
              </c15:ser>
            </c15:filteredBarSeries>
          </c:ext>
        </c:extLst>
      </c:barChart>
      <c:catAx>
        <c:axId val="93202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028584"/>
        <c:crosses val="autoZero"/>
        <c:auto val="1"/>
        <c:lblAlgn val="ctr"/>
        <c:lblOffset val="100"/>
        <c:noMultiLvlLbl val="0"/>
      </c:catAx>
      <c:valAx>
        <c:axId val="93202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202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77-4468-949A-CFFB60F6E100}"/>
              </c:ext>
            </c:extLst>
          </c:dPt>
          <c:cat>
            <c:strRef>
              <c:f>'Graf 23+24+25+26'!$K$36:$K$59</c:f>
              <c:strCache>
                <c:ptCount val="24"/>
                <c:pt idx="0">
                  <c:v>SI</c:v>
                </c:pt>
                <c:pt idx="1">
                  <c:v>PT</c:v>
                </c:pt>
                <c:pt idx="2">
                  <c:v>CZ</c:v>
                </c:pt>
                <c:pt idx="3">
                  <c:v>AT</c:v>
                </c:pt>
                <c:pt idx="4">
                  <c:v>IE</c:v>
                </c:pt>
                <c:pt idx="5">
                  <c:v>SE</c:v>
                </c:pt>
                <c:pt idx="6">
                  <c:v>UK</c:v>
                </c:pt>
                <c:pt idx="7">
                  <c:v>PL</c:v>
                </c:pt>
                <c:pt idx="8">
                  <c:v>DK</c:v>
                </c:pt>
                <c:pt idx="9">
                  <c:v>EL</c:v>
                </c:pt>
                <c:pt idx="10">
                  <c:v>LV</c:v>
                </c:pt>
                <c:pt idx="11">
                  <c:v>ES</c:v>
                </c:pt>
                <c:pt idx="12">
                  <c:v>LT</c:v>
                </c:pt>
                <c:pt idx="13">
                  <c:v>FI</c:v>
                </c:pt>
                <c:pt idx="14">
                  <c:v>SK</c:v>
                </c:pt>
                <c:pt idx="15">
                  <c:v>D</c:v>
                </c:pt>
                <c:pt idx="16">
                  <c:v>BG</c:v>
                </c:pt>
                <c:pt idx="17">
                  <c:v>NL</c:v>
                </c:pt>
                <c:pt idx="18">
                  <c:v>EE</c:v>
                </c:pt>
                <c:pt idx="19">
                  <c:v>HU</c:v>
                </c:pt>
                <c:pt idx="20">
                  <c:v>RO</c:v>
                </c:pt>
                <c:pt idx="21">
                  <c:v>IT</c:v>
                </c:pt>
                <c:pt idx="22">
                  <c:v>MT</c:v>
                </c:pt>
                <c:pt idx="23">
                  <c:v>LU</c:v>
                </c:pt>
              </c:strCache>
            </c:strRef>
          </c:cat>
          <c:val>
            <c:numRef>
              <c:f>'Graf 23+24+25+26'!$L$36:$L$59</c:f>
              <c:numCache>
                <c:formatCode>0.0</c:formatCode>
                <c:ptCount val="24"/>
                <c:pt idx="0">
                  <c:v>5.9</c:v>
                </c:pt>
                <c:pt idx="1">
                  <c:v>1.5</c:v>
                </c:pt>
                <c:pt idx="2">
                  <c:v>1.4</c:v>
                </c:pt>
                <c:pt idx="3">
                  <c:v>1.1000000000000001</c:v>
                </c:pt>
                <c:pt idx="4">
                  <c:v>0.8</c:v>
                </c:pt>
                <c:pt idx="5">
                  <c:v>0.7</c:v>
                </c:pt>
                <c:pt idx="6">
                  <c:v>0.4</c:v>
                </c:pt>
                <c:pt idx="7">
                  <c:v>0.31</c:v>
                </c:pt>
                <c:pt idx="8">
                  <c:v>0.3</c:v>
                </c:pt>
                <c:pt idx="9">
                  <c:v>0.22</c:v>
                </c:pt>
                <c:pt idx="10">
                  <c:v>0.21</c:v>
                </c:pt>
                <c:pt idx="11">
                  <c:v>0.2</c:v>
                </c:pt>
                <c:pt idx="12">
                  <c:v>0.14000000000000001</c:v>
                </c:pt>
                <c:pt idx="13" formatCode="0.00">
                  <c:v>0.13</c:v>
                </c:pt>
                <c:pt idx="14">
                  <c:v>0.12</c:v>
                </c:pt>
                <c:pt idx="15">
                  <c:v>0.11</c:v>
                </c:pt>
                <c:pt idx="16">
                  <c:v>0.1</c:v>
                </c:pt>
                <c:pt idx="17">
                  <c:v>0.04</c:v>
                </c:pt>
                <c:pt idx="18">
                  <c:v>0.03</c:v>
                </c:pt>
                <c:pt idx="19">
                  <c:v>0.03</c:v>
                </c:pt>
                <c:pt idx="20">
                  <c:v>2.5000000000000001E-2</c:v>
                </c:pt>
                <c:pt idx="21">
                  <c:v>1.4999999999999999E-2</c:v>
                </c:pt>
                <c:pt idx="22">
                  <c:v>0.01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77-4468-949A-CFFB60F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196784"/>
        <c:axId val="931197176"/>
      </c:barChart>
      <c:catAx>
        <c:axId val="93119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97176"/>
        <c:crosses val="autoZero"/>
        <c:auto val="1"/>
        <c:lblAlgn val="ctr"/>
        <c:lblOffset val="100"/>
        <c:noMultiLvlLbl val="0"/>
      </c:catAx>
      <c:valAx>
        <c:axId val="931197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9678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v>Štátne záruky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36-41E2-8C3B-E05CA331EE8A}"/>
              </c:ext>
            </c:extLst>
          </c:dPt>
          <c:cat>
            <c:strRef>
              <c:f>'Graf 23+24+25+26'!$A$36:$A$63</c:f>
              <c:strCache>
                <c:ptCount val="28"/>
                <c:pt idx="0">
                  <c:v>FI</c:v>
                </c:pt>
                <c:pt idx="1">
                  <c:v>AT</c:v>
                </c:pt>
                <c:pt idx="2">
                  <c:v>D</c:v>
                </c:pt>
                <c:pt idx="3">
                  <c:v>MT</c:v>
                </c:pt>
                <c:pt idx="4">
                  <c:v>LU</c:v>
                </c:pt>
                <c:pt idx="5">
                  <c:v>BE</c:v>
                </c:pt>
                <c:pt idx="6">
                  <c:v>SE</c:v>
                </c:pt>
                <c:pt idx="7">
                  <c:v>DK</c:v>
                </c:pt>
                <c:pt idx="8">
                  <c:v>SI</c:v>
                </c:pt>
                <c:pt idx="9">
                  <c:v>CY</c:v>
                </c:pt>
                <c:pt idx="10">
                  <c:v>UK</c:v>
                </c:pt>
                <c:pt idx="11">
                  <c:v>HU</c:v>
                </c:pt>
                <c:pt idx="12">
                  <c:v>ES</c:v>
                </c:pt>
                <c:pt idx="13">
                  <c:v>PL</c:v>
                </c:pt>
                <c:pt idx="14">
                  <c:v>EL</c:v>
                </c:pt>
                <c:pt idx="15">
                  <c:v>PT</c:v>
                </c:pt>
                <c:pt idx="16">
                  <c:v>FR</c:v>
                </c:pt>
                <c:pt idx="17">
                  <c:v>NL</c:v>
                </c:pt>
                <c:pt idx="18">
                  <c:v>HR</c:v>
                </c:pt>
                <c:pt idx="19">
                  <c:v>IT</c:v>
                </c:pt>
                <c:pt idx="20">
                  <c:v>RO</c:v>
                </c:pt>
                <c:pt idx="21">
                  <c:v>IE</c:v>
                </c:pt>
                <c:pt idx="22">
                  <c:v>EE</c:v>
                </c:pt>
                <c:pt idx="23">
                  <c:v>LV</c:v>
                </c:pt>
                <c:pt idx="24">
                  <c:v>LT</c:v>
                </c:pt>
                <c:pt idx="25">
                  <c:v>BG</c:v>
                </c:pt>
                <c:pt idx="26">
                  <c:v>CZ</c:v>
                </c:pt>
                <c:pt idx="27">
                  <c:v>SK</c:v>
                </c:pt>
              </c:strCache>
            </c:strRef>
          </c:cat>
          <c:val>
            <c:numRef>
              <c:f>'Graf 23+24+25+26'!$D$36:$D$63</c:f>
              <c:numCache>
                <c:formatCode>0.0</c:formatCode>
                <c:ptCount val="28"/>
                <c:pt idx="0" formatCode="0.00">
                  <c:v>28</c:v>
                </c:pt>
                <c:pt idx="1">
                  <c:v>20.5</c:v>
                </c:pt>
                <c:pt idx="2">
                  <c:v>14.3</c:v>
                </c:pt>
                <c:pt idx="3">
                  <c:v>14.1</c:v>
                </c:pt>
                <c:pt idx="4">
                  <c:v>12.9</c:v>
                </c:pt>
                <c:pt idx="5">
                  <c:v>10.9</c:v>
                </c:pt>
                <c:pt idx="6">
                  <c:v>10.5</c:v>
                </c:pt>
                <c:pt idx="7">
                  <c:v>9.9</c:v>
                </c:pt>
                <c:pt idx="8">
                  <c:v>9.6</c:v>
                </c:pt>
                <c:pt idx="9">
                  <c:v>9.4</c:v>
                </c:pt>
                <c:pt idx="10">
                  <c:v>8.3000000000000007</c:v>
                </c:pt>
                <c:pt idx="11">
                  <c:v>8.1</c:v>
                </c:pt>
                <c:pt idx="12">
                  <c:v>7.7</c:v>
                </c:pt>
                <c:pt idx="13">
                  <c:v>7.1</c:v>
                </c:pt>
                <c:pt idx="14">
                  <c:v>6.1</c:v>
                </c:pt>
                <c:pt idx="15">
                  <c:v>5.6</c:v>
                </c:pt>
                <c:pt idx="16">
                  <c:v>5.2</c:v>
                </c:pt>
                <c:pt idx="17">
                  <c:v>3.6999999999999997</c:v>
                </c:pt>
                <c:pt idx="18">
                  <c:v>2.6</c:v>
                </c:pt>
                <c:pt idx="19">
                  <c:v>2.4</c:v>
                </c:pt>
                <c:pt idx="20">
                  <c:v>2.2000000000000002</c:v>
                </c:pt>
                <c:pt idx="21">
                  <c:v>1.9</c:v>
                </c:pt>
                <c:pt idx="22">
                  <c:v>1.5</c:v>
                </c:pt>
                <c:pt idx="23">
                  <c:v>1.4</c:v>
                </c:pt>
                <c:pt idx="24">
                  <c:v>0.89999999999999991</c:v>
                </c:pt>
                <c:pt idx="25">
                  <c:v>0.5</c:v>
                </c:pt>
                <c:pt idx="26">
                  <c:v>0.3</c:v>
                </c:pt>
                <c:pt idx="27">
                  <c:v>0.03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36-41E2-8C3B-E05CA331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197568"/>
        <c:axId val="9311979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23+24+25+26'!$B$32:$B$33</c15:sqref>
                        </c15:formulaRef>
                      </c:ext>
                    </c:extLst>
                    <c:strCache>
                      <c:ptCount val="2"/>
                      <c:pt idx="0">
                        <c:v>Štátne záruky</c:v>
                      </c:pt>
                      <c:pt idx="1">
                        <c:v>Jednorazové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23+24+25+26'!$A$36:$A$63</c15:sqref>
                        </c15:formulaRef>
                      </c:ext>
                    </c:extLst>
                    <c:strCache>
                      <c:ptCount val="28"/>
                      <c:pt idx="0">
                        <c:v>FI</c:v>
                      </c:pt>
                      <c:pt idx="1">
                        <c:v>AT</c:v>
                      </c:pt>
                      <c:pt idx="2">
                        <c:v>D</c:v>
                      </c:pt>
                      <c:pt idx="3">
                        <c:v>MT</c:v>
                      </c:pt>
                      <c:pt idx="4">
                        <c:v>LU</c:v>
                      </c:pt>
                      <c:pt idx="5">
                        <c:v>BE</c:v>
                      </c:pt>
                      <c:pt idx="6">
                        <c:v>SE</c:v>
                      </c:pt>
                      <c:pt idx="7">
                        <c:v>DK</c:v>
                      </c:pt>
                      <c:pt idx="8">
                        <c:v>SI</c:v>
                      </c:pt>
                      <c:pt idx="9">
                        <c:v>CY</c:v>
                      </c:pt>
                      <c:pt idx="10">
                        <c:v>UK</c:v>
                      </c:pt>
                      <c:pt idx="11">
                        <c:v>HU</c:v>
                      </c:pt>
                      <c:pt idx="12">
                        <c:v>ES</c:v>
                      </c:pt>
                      <c:pt idx="13">
                        <c:v>PL</c:v>
                      </c:pt>
                      <c:pt idx="14">
                        <c:v>EL</c:v>
                      </c:pt>
                      <c:pt idx="15">
                        <c:v>PT</c:v>
                      </c:pt>
                      <c:pt idx="16">
                        <c:v>FR</c:v>
                      </c:pt>
                      <c:pt idx="17">
                        <c:v>NL</c:v>
                      </c:pt>
                      <c:pt idx="18">
                        <c:v>HR</c:v>
                      </c:pt>
                      <c:pt idx="19">
                        <c:v>IT</c:v>
                      </c:pt>
                      <c:pt idx="20">
                        <c:v>RO</c:v>
                      </c:pt>
                      <c:pt idx="21">
                        <c:v>IE</c:v>
                      </c:pt>
                      <c:pt idx="22">
                        <c:v>EE</c:v>
                      </c:pt>
                      <c:pt idx="23">
                        <c:v>LV</c:v>
                      </c:pt>
                      <c:pt idx="24">
                        <c:v>LT</c:v>
                      </c:pt>
                      <c:pt idx="25">
                        <c:v>BG</c:v>
                      </c:pt>
                      <c:pt idx="26">
                        <c:v>CZ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23+24+25+26'!$B$36:$B$63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27</c:v>
                      </c:pt>
                      <c:pt idx="1">
                        <c:v>20.5</c:v>
                      </c:pt>
                      <c:pt idx="2">
                        <c:v>14.3</c:v>
                      </c:pt>
                      <c:pt idx="3">
                        <c:v>14.1</c:v>
                      </c:pt>
                      <c:pt idx="4">
                        <c:v>12</c:v>
                      </c:pt>
                      <c:pt idx="5">
                        <c:v>10.3</c:v>
                      </c:pt>
                      <c:pt idx="6">
                        <c:v>10.5</c:v>
                      </c:pt>
                      <c:pt idx="7">
                        <c:v>9.9</c:v>
                      </c:pt>
                      <c:pt idx="8">
                        <c:v>9.6</c:v>
                      </c:pt>
                      <c:pt idx="9">
                        <c:v>9.1</c:v>
                      </c:pt>
                      <c:pt idx="10">
                        <c:v>8.3000000000000007</c:v>
                      </c:pt>
                      <c:pt idx="11">
                        <c:v>7.9</c:v>
                      </c:pt>
                      <c:pt idx="12">
                        <c:v>7.7</c:v>
                      </c:pt>
                      <c:pt idx="13">
                        <c:v>6.5</c:v>
                      </c:pt>
                      <c:pt idx="14">
                        <c:v>6.1</c:v>
                      </c:pt>
                      <c:pt idx="15">
                        <c:v>5.6</c:v>
                      </c:pt>
                      <c:pt idx="16">
                        <c:v>3</c:v>
                      </c:pt>
                      <c:pt idx="17">
                        <c:v>3.3</c:v>
                      </c:pt>
                      <c:pt idx="18">
                        <c:v>2.6</c:v>
                      </c:pt>
                      <c:pt idx="19">
                        <c:v>1.2</c:v>
                      </c:pt>
                      <c:pt idx="20">
                        <c:v>0.4</c:v>
                      </c:pt>
                      <c:pt idx="21">
                        <c:v>1.9</c:v>
                      </c:pt>
                      <c:pt idx="22">
                        <c:v>0</c:v>
                      </c:pt>
                      <c:pt idx="23">
                        <c:v>0.9</c:v>
                      </c:pt>
                      <c:pt idx="24">
                        <c:v>0.2</c:v>
                      </c:pt>
                      <c:pt idx="25">
                        <c:v>0.4</c:v>
                      </c:pt>
                      <c:pt idx="26">
                        <c:v>0.3</c:v>
                      </c:pt>
                      <c:pt idx="27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C936-41E2-8C3B-E05CA331EE8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23+24+25+26'!$C$32:$C$33</c15:sqref>
                        </c15:formulaRef>
                      </c:ext>
                    </c:extLst>
                    <c:strCache>
                      <c:ptCount val="2"/>
                      <c:pt idx="0">
                        <c:v>Štátne záruky</c:v>
                      </c:pt>
                      <c:pt idx="1">
                        <c:v>Štandardné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23+24+25+26'!$A$36:$A$63</c15:sqref>
                        </c15:formulaRef>
                      </c:ext>
                    </c:extLst>
                    <c:strCache>
                      <c:ptCount val="28"/>
                      <c:pt idx="0">
                        <c:v>FI</c:v>
                      </c:pt>
                      <c:pt idx="1">
                        <c:v>AT</c:v>
                      </c:pt>
                      <c:pt idx="2">
                        <c:v>D</c:v>
                      </c:pt>
                      <c:pt idx="3">
                        <c:v>MT</c:v>
                      </c:pt>
                      <c:pt idx="4">
                        <c:v>LU</c:v>
                      </c:pt>
                      <c:pt idx="5">
                        <c:v>BE</c:v>
                      </c:pt>
                      <c:pt idx="6">
                        <c:v>SE</c:v>
                      </c:pt>
                      <c:pt idx="7">
                        <c:v>DK</c:v>
                      </c:pt>
                      <c:pt idx="8">
                        <c:v>SI</c:v>
                      </c:pt>
                      <c:pt idx="9">
                        <c:v>CY</c:v>
                      </c:pt>
                      <c:pt idx="10">
                        <c:v>UK</c:v>
                      </c:pt>
                      <c:pt idx="11">
                        <c:v>HU</c:v>
                      </c:pt>
                      <c:pt idx="12">
                        <c:v>ES</c:v>
                      </c:pt>
                      <c:pt idx="13">
                        <c:v>PL</c:v>
                      </c:pt>
                      <c:pt idx="14">
                        <c:v>EL</c:v>
                      </c:pt>
                      <c:pt idx="15">
                        <c:v>PT</c:v>
                      </c:pt>
                      <c:pt idx="16">
                        <c:v>FR</c:v>
                      </c:pt>
                      <c:pt idx="17">
                        <c:v>NL</c:v>
                      </c:pt>
                      <c:pt idx="18">
                        <c:v>HR</c:v>
                      </c:pt>
                      <c:pt idx="19">
                        <c:v>IT</c:v>
                      </c:pt>
                      <c:pt idx="20">
                        <c:v>RO</c:v>
                      </c:pt>
                      <c:pt idx="21">
                        <c:v>IE</c:v>
                      </c:pt>
                      <c:pt idx="22">
                        <c:v>EE</c:v>
                      </c:pt>
                      <c:pt idx="23">
                        <c:v>LV</c:v>
                      </c:pt>
                      <c:pt idx="24">
                        <c:v>LT</c:v>
                      </c:pt>
                      <c:pt idx="25">
                        <c:v>BG</c:v>
                      </c:pt>
                      <c:pt idx="26">
                        <c:v>CZ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23+24+25+26'!$C$36:$C$63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1.1000000000000001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0.9</c:v>
                      </c:pt>
                      <c:pt idx="5">
                        <c:v>0.6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0.3</c:v>
                      </c:pt>
                      <c:pt idx="10">
                        <c:v>0.1</c:v>
                      </c:pt>
                      <c:pt idx="11">
                        <c:v>0.2</c:v>
                      </c:pt>
                      <c:pt idx="12">
                        <c:v>0</c:v>
                      </c:pt>
                      <c:pt idx="13">
                        <c:v>0.7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2.2000000000000002</c:v>
                      </c:pt>
                      <c:pt idx="17">
                        <c:v>0.4</c:v>
                      </c:pt>
                      <c:pt idx="18">
                        <c:v>0</c:v>
                      </c:pt>
                      <c:pt idx="19">
                        <c:v>1.2</c:v>
                      </c:pt>
                      <c:pt idx="20">
                        <c:v>1.9</c:v>
                      </c:pt>
                      <c:pt idx="21">
                        <c:v>0</c:v>
                      </c:pt>
                      <c:pt idx="22">
                        <c:v>1.5</c:v>
                      </c:pt>
                      <c:pt idx="23">
                        <c:v>0.5</c:v>
                      </c:pt>
                      <c:pt idx="24">
                        <c:v>0.7</c:v>
                      </c:pt>
                      <c:pt idx="25">
                        <c:v>0.1</c:v>
                      </c:pt>
                      <c:pt idx="26">
                        <c:v>0</c:v>
                      </c:pt>
                      <c:pt idx="27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C936-41E2-8C3B-E05CA331EE8A}"/>
                  </c:ext>
                </c:extLst>
              </c15:ser>
            </c15:filteredBarSeries>
          </c:ext>
        </c:extLst>
      </c:barChart>
      <c:catAx>
        <c:axId val="93119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97960"/>
        <c:crosses val="autoZero"/>
        <c:auto val="1"/>
        <c:lblAlgn val="ctr"/>
        <c:lblOffset val="100"/>
        <c:noMultiLvlLbl val="0"/>
      </c:catAx>
      <c:valAx>
        <c:axId val="93119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9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 + 4'!$J$8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+ 4'!$L$8:$Q$8</c:f>
              <c:numCache>
                <c:formatCode>0.0</c:formatCode>
                <c:ptCount val="6"/>
                <c:pt idx="0">
                  <c:v>1.8065900349373414</c:v>
                </c:pt>
                <c:pt idx="1">
                  <c:v>1.8270919041007212</c:v>
                </c:pt>
                <c:pt idx="2">
                  <c:v>1.9397784643920459</c:v>
                </c:pt>
                <c:pt idx="3">
                  <c:v>1.8205216538272242</c:v>
                </c:pt>
                <c:pt idx="4">
                  <c:v>1.9121543279507023</c:v>
                </c:pt>
                <c:pt idx="5">
                  <c:v>1.124786786774463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99-4020-BC58-4495DFFF5CB0}"/>
            </c:ext>
          </c:extLst>
        </c:ser>
        <c:ser>
          <c:idx val="2"/>
          <c:order val="2"/>
          <c:tx>
            <c:strRef>
              <c:f>'Graf 3 + 4'!$J$9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+ 4'!$L$9:$Q$9</c:f>
              <c:numCache>
                <c:formatCode>0.0</c:formatCode>
                <c:ptCount val="6"/>
                <c:pt idx="0">
                  <c:v>-0.20033684175736183</c:v>
                </c:pt>
                <c:pt idx="1">
                  <c:v>-5.3536625203992334E-2</c:v>
                </c:pt>
                <c:pt idx="2">
                  <c:v>-0.24602935606971038</c:v>
                </c:pt>
                <c:pt idx="3">
                  <c:v>0.64735645464789082</c:v>
                </c:pt>
                <c:pt idx="4">
                  <c:v>0.53895225960552773</c:v>
                </c:pt>
                <c:pt idx="5">
                  <c:v>0.43905533777850553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99-4020-BC58-4495DFFF5CB0}"/>
            </c:ext>
          </c:extLst>
        </c:ser>
        <c:ser>
          <c:idx val="3"/>
          <c:order val="3"/>
          <c:tx>
            <c:strRef>
              <c:f>'Graf 3 + 4'!$J$10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+ 4'!$L$10:$Q$10</c:f>
              <c:numCache>
                <c:formatCode>0.0</c:formatCode>
                <c:ptCount val="6"/>
                <c:pt idx="0">
                  <c:v>0.14905867463923061</c:v>
                </c:pt>
                <c:pt idx="1">
                  <c:v>-1.2085016404080102</c:v>
                </c:pt>
                <c:pt idx="2">
                  <c:v>2.2047030527999292</c:v>
                </c:pt>
                <c:pt idx="3">
                  <c:v>1.4735826368460507</c:v>
                </c:pt>
                <c:pt idx="4">
                  <c:v>2.3354865357144057</c:v>
                </c:pt>
                <c:pt idx="5">
                  <c:v>4.1394168512633733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99-4020-BC58-4495DFFF5CB0}"/>
            </c:ext>
          </c:extLst>
        </c:ser>
        <c:ser>
          <c:idx val="4"/>
          <c:order val="4"/>
          <c:tx>
            <c:strRef>
              <c:f>'Graf 3 + 4'!$J$11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+ 4'!$L$11:$Q$11</c:f>
              <c:numCache>
                <c:formatCode>0.0</c:formatCode>
                <c:ptCount val="6"/>
                <c:pt idx="0">
                  <c:v>1.0775465911641606</c:v>
                </c:pt>
                <c:pt idx="1">
                  <c:v>0.44402356625077194</c:v>
                </c:pt>
                <c:pt idx="2">
                  <c:v>-1.5801216551489223</c:v>
                </c:pt>
                <c:pt idx="3">
                  <c:v>2.7151538703069007</c:v>
                </c:pt>
                <c:pt idx="4">
                  <c:v>-0.62341009725272312</c:v>
                </c:pt>
                <c:pt idx="5">
                  <c:v>0.83936417634790517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99-4020-BC58-4495DFFF5CB0}"/>
            </c:ext>
          </c:extLst>
        </c:ser>
        <c:ser>
          <c:idx val="5"/>
          <c:order val="5"/>
          <c:tx>
            <c:strRef>
              <c:f>'Graf 3 + 4'!$J$12</c:f>
              <c:strCache>
                <c:ptCount val="1"/>
                <c:pt idx="0">
                  <c:v>zásoby a štat. disk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+ 4'!$L$12:$Q$12</c:f>
              <c:numCache>
                <c:formatCode>0.0</c:formatCode>
                <c:ptCount val="6"/>
                <c:pt idx="0">
                  <c:v>0.15158705348845913</c:v>
                </c:pt>
                <c:pt idx="1">
                  <c:v>2.7241952604984494</c:v>
                </c:pt>
                <c:pt idx="2">
                  <c:v>1.0611284197967077</c:v>
                </c:pt>
                <c:pt idx="3">
                  <c:v>-3.1878698318876468</c:v>
                </c:pt>
                <c:pt idx="4">
                  <c:v>-0.60161366353445311</c:v>
                </c:pt>
                <c:pt idx="5">
                  <c:v>-2.2970796835362064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99-4020-BC58-4495DFFF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55112"/>
        <c:axId val="13755504"/>
      </c:barChart>
      <c:lineChart>
        <c:grouping val="standard"/>
        <c:varyColors val="0"/>
        <c:ser>
          <c:idx val="0"/>
          <c:order val="0"/>
          <c:tx>
            <c:strRef>
              <c:f>'Graf 3 + 4'!$J$7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4345436507936505E-2"/>
                  <c:y val="-7.1128888888888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999-4020-BC58-4495DFFF5CB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+ 4'!$L$7:$Q$7</c:f>
              <c:numCache>
                <c:formatCode>0.0</c:formatCode>
                <c:ptCount val="6"/>
                <c:pt idx="0">
                  <c:v>2.9844455124718299</c:v>
                </c:pt>
                <c:pt idx="1">
                  <c:v>3.7332724652379401</c:v>
                </c:pt>
                <c:pt idx="2">
                  <c:v>3.37945892577005</c:v>
                </c:pt>
                <c:pt idx="3">
                  <c:v>3.4687447837404202</c:v>
                </c:pt>
                <c:pt idx="4">
                  <c:v>3.5615693624834601</c:v>
                </c:pt>
                <c:pt idx="5">
                  <c:v>4.24554346862804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999-4020-BC58-4495DFFF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112"/>
        <c:axId val="13755504"/>
      </c:lineChart>
      <c:catAx>
        <c:axId val="1375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1"/>
            </a:pPr>
            <a:endParaRPr lang="sk-SK"/>
          </a:p>
        </c:txPr>
        <c:crossAx val="13755504"/>
        <c:crosses val="autoZero"/>
        <c:auto val="1"/>
        <c:lblAlgn val="ctr"/>
        <c:lblOffset val="100"/>
        <c:noMultiLvlLbl val="0"/>
      </c:catAx>
      <c:valAx>
        <c:axId val="13755504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1375511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Záväzky mimo súvahy štátu (PPP)</c:v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BF-4E6E-988C-95E33BC0A1AD}"/>
              </c:ext>
            </c:extLst>
          </c:dPt>
          <c:cat>
            <c:strRef>
              <c:f>'Graf 23+24+25+26'!$E$36:$E$63</c:f>
              <c:strCache>
                <c:ptCount val="28"/>
                <c:pt idx="0">
                  <c:v>PT</c:v>
                </c:pt>
                <c:pt idx="1">
                  <c:v>SK</c:v>
                </c:pt>
                <c:pt idx="2">
                  <c:v>HU</c:v>
                </c:pt>
                <c:pt idx="3">
                  <c:v>UK</c:v>
                </c:pt>
                <c:pt idx="4">
                  <c:v>CY</c:v>
                </c:pt>
                <c:pt idx="5">
                  <c:v>IE</c:v>
                </c:pt>
                <c:pt idx="6">
                  <c:v>NL</c:v>
                </c:pt>
                <c:pt idx="7">
                  <c:v>ES</c:v>
                </c:pt>
                <c:pt idx="8">
                  <c:v>DK</c:v>
                </c:pt>
                <c:pt idx="9">
                  <c:v>BE</c:v>
                </c:pt>
                <c:pt idx="10">
                  <c:v>EL</c:v>
                </c:pt>
                <c:pt idx="11">
                  <c:v>EE</c:v>
                </c:pt>
                <c:pt idx="12">
                  <c:v>HR</c:v>
                </c:pt>
                <c:pt idx="13">
                  <c:v>AT</c:v>
                </c:pt>
                <c:pt idx="14">
                  <c:v>MT</c:v>
                </c:pt>
                <c:pt idx="15">
                  <c:v>IT</c:v>
                </c:pt>
                <c:pt idx="16">
                  <c:v>FI</c:v>
                </c:pt>
                <c:pt idx="17">
                  <c:v>LV</c:v>
                </c:pt>
                <c:pt idx="18">
                  <c:v>LT</c:v>
                </c:pt>
                <c:pt idx="19">
                  <c:v>BG</c:v>
                </c:pt>
                <c:pt idx="20">
                  <c:v>CZ</c:v>
                </c:pt>
                <c:pt idx="21">
                  <c:v>D</c:v>
                </c:pt>
                <c:pt idx="22">
                  <c:v>FR</c:v>
                </c:pt>
                <c:pt idx="23">
                  <c:v>LU</c:v>
                </c:pt>
                <c:pt idx="24">
                  <c:v>PL</c:v>
                </c:pt>
                <c:pt idx="25">
                  <c:v>RO</c:v>
                </c:pt>
                <c:pt idx="26">
                  <c:v>SI</c:v>
                </c:pt>
                <c:pt idx="27">
                  <c:v>SE</c:v>
                </c:pt>
              </c:strCache>
            </c:strRef>
          </c:cat>
          <c:val>
            <c:numRef>
              <c:f>'Graf 23+24+25+26'!$F$36:$F$63</c:f>
              <c:numCache>
                <c:formatCode>0.0</c:formatCode>
                <c:ptCount val="28"/>
                <c:pt idx="0">
                  <c:v>3.2</c:v>
                </c:pt>
                <c:pt idx="1">
                  <c:v>3.1</c:v>
                </c:pt>
                <c:pt idx="2">
                  <c:v>1.7</c:v>
                </c:pt>
                <c:pt idx="3">
                  <c:v>1.5</c:v>
                </c:pt>
                <c:pt idx="4">
                  <c:v>0.8</c:v>
                </c:pt>
                <c:pt idx="5">
                  <c:v>0.7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0.14599999999999999</c:v>
                </c:pt>
                <c:pt idx="10">
                  <c:v>0.14499999999999999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0.11</c:v>
                </c:pt>
                <c:pt idx="15">
                  <c:v>4.3999999999999997E-2</c:v>
                </c:pt>
                <c:pt idx="16" formatCode="0.00">
                  <c:v>4.2999999999999997E-2</c:v>
                </c:pt>
                <c:pt idx="17">
                  <c:v>0.04</c:v>
                </c:pt>
                <c:pt idx="18">
                  <c:v>3.5000000000000003E-2</c:v>
                </c:pt>
                <c:pt idx="19">
                  <c:v>0.03</c:v>
                </c:pt>
                <c:pt idx="20">
                  <c:v>2.5000000000000001E-2</c:v>
                </c:pt>
                <c:pt idx="21">
                  <c:v>0.02</c:v>
                </c:pt>
                <c:pt idx="22">
                  <c:v>1.4999999999999999E-2</c:v>
                </c:pt>
                <c:pt idx="23">
                  <c:v>1.4E-2</c:v>
                </c:pt>
                <c:pt idx="24">
                  <c:v>0.01</c:v>
                </c:pt>
                <c:pt idx="25">
                  <c:v>8.9999999999999993E-3</c:v>
                </c:pt>
                <c:pt idx="26">
                  <c:v>5.0000000000000001E-3</c:v>
                </c:pt>
                <c:pt idx="27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F-4E6E-988C-95E33BC0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198744"/>
        <c:axId val="931199136"/>
      </c:barChart>
      <c:catAx>
        <c:axId val="93119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99136"/>
        <c:crosses val="autoZero"/>
        <c:auto val="1"/>
        <c:lblAlgn val="ctr"/>
        <c:lblOffset val="100"/>
        <c:noMultiLvlLbl val="0"/>
      </c:catAx>
      <c:valAx>
        <c:axId val="93119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9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154855643045E-2"/>
          <c:y val="5.0925925925925923E-2"/>
          <c:w val="0.87824956255468067"/>
          <c:h val="0.637444954797317"/>
        </c:manualLayout>
      </c:layout>
      <c:barChart>
        <c:barDir val="col"/>
        <c:grouping val="clustered"/>
        <c:varyColors val="0"/>
        <c:ser>
          <c:idx val="2"/>
          <c:order val="2"/>
          <c:tx>
            <c:v>Záväzky štátnych podnikov</c:v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40-4280-A7F3-82F674EA153E}"/>
              </c:ext>
            </c:extLst>
          </c:dPt>
          <c:cat>
            <c:strRef>
              <c:f>'Graf 23+24+25+26'!$G$36:$G$63</c:f>
              <c:strCache>
                <c:ptCount val="28"/>
                <c:pt idx="0">
                  <c:v>EL</c:v>
                </c:pt>
                <c:pt idx="1">
                  <c:v>NL</c:v>
                </c:pt>
                <c:pt idx="2">
                  <c:v>D</c:v>
                </c:pt>
                <c:pt idx="3">
                  <c:v>CY</c:v>
                </c:pt>
                <c:pt idx="4">
                  <c:v>LU</c:v>
                </c:pt>
                <c:pt idx="5">
                  <c:v>PT</c:v>
                </c:pt>
                <c:pt idx="6">
                  <c:v>FR</c:v>
                </c:pt>
                <c:pt idx="7">
                  <c:v>SI</c:v>
                </c:pt>
                <c:pt idx="8">
                  <c:v>IT</c:v>
                </c:pt>
                <c:pt idx="9">
                  <c:v>BE</c:v>
                </c:pt>
                <c:pt idx="10">
                  <c:v>SE</c:v>
                </c:pt>
                <c:pt idx="11">
                  <c:v>UK</c:v>
                </c:pt>
                <c:pt idx="12">
                  <c:v>IE</c:v>
                </c:pt>
                <c:pt idx="13">
                  <c:v>FI</c:v>
                </c:pt>
                <c:pt idx="14">
                  <c:v>PL</c:v>
                </c:pt>
                <c:pt idx="15">
                  <c:v>DK</c:v>
                </c:pt>
                <c:pt idx="16">
                  <c:v>AT</c:v>
                </c:pt>
                <c:pt idx="17">
                  <c:v>ES</c:v>
                </c:pt>
                <c:pt idx="18">
                  <c:v>LV</c:v>
                </c:pt>
                <c:pt idx="19">
                  <c:v>MT</c:v>
                </c:pt>
                <c:pt idx="20">
                  <c:v>HU</c:v>
                </c:pt>
                <c:pt idx="21">
                  <c:v>EE</c:v>
                </c:pt>
                <c:pt idx="22">
                  <c:v>BG</c:v>
                </c:pt>
                <c:pt idx="23">
                  <c:v>CZ</c:v>
                </c:pt>
                <c:pt idx="24">
                  <c:v>HR</c:v>
                </c:pt>
                <c:pt idx="25">
                  <c:v>RO</c:v>
                </c:pt>
                <c:pt idx="26">
                  <c:v>LT</c:v>
                </c:pt>
                <c:pt idx="27">
                  <c:v>SK</c:v>
                </c:pt>
              </c:strCache>
            </c:strRef>
          </c:cat>
          <c:val>
            <c:numRef>
              <c:f>'Graf 23+24+25+26'!$J$36:$J$63</c:f>
              <c:numCache>
                <c:formatCode>0.0</c:formatCode>
                <c:ptCount val="28"/>
                <c:pt idx="0">
                  <c:v>144.19999999999999</c:v>
                </c:pt>
                <c:pt idx="1">
                  <c:v>103.89999999999999</c:v>
                </c:pt>
                <c:pt idx="2">
                  <c:v>100.7</c:v>
                </c:pt>
                <c:pt idx="3">
                  <c:v>89.8</c:v>
                </c:pt>
                <c:pt idx="4">
                  <c:v>81.5</c:v>
                </c:pt>
                <c:pt idx="5">
                  <c:v>66.2</c:v>
                </c:pt>
                <c:pt idx="6">
                  <c:v>62</c:v>
                </c:pt>
                <c:pt idx="7">
                  <c:v>58.2</c:v>
                </c:pt>
                <c:pt idx="8">
                  <c:v>51.900000000000006</c:v>
                </c:pt>
                <c:pt idx="9">
                  <c:v>51.7</c:v>
                </c:pt>
                <c:pt idx="10">
                  <c:v>43.8</c:v>
                </c:pt>
                <c:pt idx="11">
                  <c:v>42.9</c:v>
                </c:pt>
                <c:pt idx="12">
                  <c:v>42.8</c:v>
                </c:pt>
                <c:pt idx="13" formatCode="0.00">
                  <c:v>42.7</c:v>
                </c:pt>
                <c:pt idx="14">
                  <c:v>34.700000000000003</c:v>
                </c:pt>
                <c:pt idx="15">
                  <c:v>29.1</c:v>
                </c:pt>
                <c:pt idx="16">
                  <c:v>28</c:v>
                </c:pt>
                <c:pt idx="17">
                  <c:v>25.7</c:v>
                </c:pt>
                <c:pt idx="18">
                  <c:v>20.7</c:v>
                </c:pt>
                <c:pt idx="19">
                  <c:v>19.399999999999999</c:v>
                </c:pt>
                <c:pt idx="20">
                  <c:v>14.3</c:v>
                </c:pt>
                <c:pt idx="21">
                  <c:v>13.5</c:v>
                </c:pt>
                <c:pt idx="22">
                  <c:v>13.1</c:v>
                </c:pt>
                <c:pt idx="23">
                  <c:v>10.8</c:v>
                </c:pt>
                <c:pt idx="24">
                  <c:v>10.4</c:v>
                </c:pt>
                <c:pt idx="25">
                  <c:v>7.4</c:v>
                </c:pt>
                <c:pt idx="26">
                  <c:v>5.8999999999999995</c:v>
                </c:pt>
                <c:pt idx="27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40-4280-A7F3-82F674EA1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826792"/>
        <c:axId val="9318271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23+24+25+26'!$H$32:$H$33</c15:sqref>
                        </c15:formulaRef>
                      </c:ext>
                    </c:extLst>
                    <c:strCache>
                      <c:ptCount val="2"/>
                      <c:pt idx="0">
                        <c:v>Záväzky štátnych podnikov mimo VS</c:v>
                      </c:pt>
                      <c:pt idx="1">
                        <c:v>Finančný sektor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23+24+25+26'!$G$36:$G$63</c15:sqref>
                        </c15:formulaRef>
                      </c:ext>
                    </c:extLst>
                    <c:strCache>
                      <c:ptCount val="28"/>
                      <c:pt idx="0">
                        <c:v>EL</c:v>
                      </c:pt>
                      <c:pt idx="1">
                        <c:v>NL</c:v>
                      </c:pt>
                      <c:pt idx="2">
                        <c:v>D</c:v>
                      </c:pt>
                      <c:pt idx="3">
                        <c:v>CY</c:v>
                      </c:pt>
                      <c:pt idx="4">
                        <c:v>LU</c:v>
                      </c:pt>
                      <c:pt idx="5">
                        <c:v>PT</c:v>
                      </c:pt>
                      <c:pt idx="6">
                        <c:v>FR</c:v>
                      </c:pt>
                      <c:pt idx="7">
                        <c:v>SI</c:v>
                      </c:pt>
                      <c:pt idx="8">
                        <c:v>IT</c:v>
                      </c:pt>
                      <c:pt idx="9">
                        <c:v>BE</c:v>
                      </c:pt>
                      <c:pt idx="10">
                        <c:v>SE</c:v>
                      </c:pt>
                      <c:pt idx="11">
                        <c:v>UK</c:v>
                      </c:pt>
                      <c:pt idx="12">
                        <c:v>IE</c:v>
                      </c:pt>
                      <c:pt idx="13">
                        <c:v>FI</c:v>
                      </c:pt>
                      <c:pt idx="14">
                        <c:v>PL</c:v>
                      </c:pt>
                      <c:pt idx="15">
                        <c:v>DK</c:v>
                      </c:pt>
                      <c:pt idx="16">
                        <c:v>AT</c:v>
                      </c:pt>
                      <c:pt idx="17">
                        <c:v>ES</c:v>
                      </c:pt>
                      <c:pt idx="18">
                        <c:v>LV</c:v>
                      </c:pt>
                      <c:pt idx="19">
                        <c:v>MT</c:v>
                      </c:pt>
                      <c:pt idx="20">
                        <c:v>HU</c:v>
                      </c:pt>
                      <c:pt idx="21">
                        <c:v>EE</c:v>
                      </c:pt>
                      <c:pt idx="22">
                        <c:v>BG</c:v>
                      </c:pt>
                      <c:pt idx="23">
                        <c:v>CZ</c:v>
                      </c:pt>
                      <c:pt idx="24">
                        <c:v>HR</c:v>
                      </c:pt>
                      <c:pt idx="25">
                        <c:v>RO</c:v>
                      </c:pt>
                      <c:pt idx="26">
                        <c:v>LT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23+24+25+26'!$H$36:$H$63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136.1</c:v>
                      </c:pt>
                      <c:pt idx="1">
                        <c:v>88.3</c:v>
                      </c:pt>
                      <c:pt idx="2">
                        <c:v>96.4</c:v>
                      </c:pt>
                      <c:pt idx="3">
                        <c:v>76.2</c:v>
                      </c:pt>
                      <c:pt idx="4">
                        <c:v>74.400000000000006</c:v>
                      </c:pt>
                      <c:pt idx="5">
                        <c:v>62.4</c:v>
                      </c:pt>
                      <c:pt idx="6">
                        <c:v>42.8</c:v>
                      </c:pt>
                      <c:pt idx="7">
                        <c:v>40.1</c:v>
                      </c:pt>
                      <c:pt idx="8">
                        <c:v>29.3</c:v>
                      </c:pt>
                      <c:pt idx="9">
                        <c:v>38</c:v>
                      </c:pt>
                      <c:pt idx="10">
                        <c:v>19.399999999999999</c:v>
                      </c:pt>
                      <c:pt idx="11">
                        <c:v>37.6</c:v>
                      </c:pt>
                      <c:pt idx="12">
                        <c:v>36.4</c:v>
                      </c:pt>
                      <c:pt idx="13">
                        <c:v>20.5</c:v>
                      </c:pt>
                      <c:pt idx="14">
                        <c:v>21.9</c:v>
                      </c:pt>
                      <c:pt idx="15">
                        <c:v>10.9</c:v>
                      </c:pt>
                      <c:pt idx="16">
                        <c:v>14.6</c:v>
                      </c:pt>
                      <c:pt idx="17">
                        <c:v>22.7</c:v>
                      </c:pt>
                      <c:pt idx="19">
                        <c:v>3.2</c:v>
                      </c:pt>
                      <c:pt idx="20">
                        <c:v>9.3000000000000007</c:v>
                      </c:pt>
                      <c:pt idx="21">
                        <c:v>0.1</c:v>
                      </c:pt>
                      <c:pt idx="22">
                        <c:v>5</c:v>
                      </c:pt>
                      <c:pt idx="23">
                        <c:v>0</c:v>
                      </c:pt>
                      <c:pt idx="24">
                        <c:v>5.2</c:v>
                      </c:pt>
                      <c:pt idx="25">
                        <c:v>3.9</c:v>
                      </c:pt>
                      <c:pt idx="26">
                        <c:v>0.1</c:v>
                      </c:pt>
                      <c:pt idx="27">
                        <c:v>0.3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3940-4280-A7F3-82F674EA153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23+24+25+26'!$I$32:$I$33</c15:sqref>
                        </c15:formulaRef>
                      </c:ext>
                    </c:extLst>
                    <c:strCache>
                      <c:ptCount val="2"/>
                      <c:pt idx="0">
                        <c:v>Záväzky štátnych podnikov mimo VS</c:v>
                      </c:pt>
                      <c:pt idx="1">
                        <c:v>Ostatné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23+24+25+26'!$G$36:$G$63</c15:sqref>
                        </c15:formulaRef>
                      </c:ext>
                    </c:extLst>
                    <c:strCache>
                      <c:ptCount val="28"/>
                      <c:pt idx="0">
                        <c:v>EL</c:v>
                      </c:pt>
                      <c:pt idx="1">
                        <c:v>NL</c:v>
                      </c:pt>
                      <c:pt idx="2">
                        <c:v>D</c:v>
                      </c:pt>
                      <c:pt idx="3">
                        <c:v>CY</c:v>
                      </c:pt>
                      <c:pt idx="4">
                        <c:v>LU</c:v>
                      </c:pt>
                      <c:pt idx="5">
                        <c:v>PT</c:v>
                      </c:pt>
                      <c:pt idx="6">
                        <c:v>FR</c:v>
                      </c:pt>
                      <c:pt idx="7">
                        <c:v>SI</c:v>
                      </c:pt>
                      <c:pt idx="8">
                        <c:v>IT</c:v>
                      </c:pt>
                      <c:pt idx="9">
                        <c:v>BE</c:v>
                      </c:pt>
                      <c:pt idx="10">
                        <c:v>SE</c:v>
                      </c:pt>
                      <c:pt idx="11">
                        <c:v>UK</c:v>
                      </c:pt>
                      <c:pt idx="12">
                        <c:v>IE</c:v>
                      </c:pt>
                      <c:pt idx="13">
                        <c:v>FI</c:v>
                      </c:pt>
                      <c:pt idx="14">
                        <c:v>PL</c:v>
                      </c:pt>
                      <c:pt idx="15">
                        <c:v>DK</c:v>
                      </c:pt>
                      <c:pt idx="16">
                        <c:v>AT</c:v>
                      </c:pt>
                      <c:pt idx="17">
                        <c:v>ES</c:v>
                      </c:pt>
                      <c:pt idx="18">
                        <c:v>LV</c:v>
                      </c:pt>
                      <c:pt idx="19">
                        <c:v>MT</c:v>
                      </c:pt>
                      <c:pt idx="20">
                        <c:v>HU</c:v>
                      </c:pt>
                      <c:pt idx="21">
                        <c:v>EE</c:v>
                      </c:pt>
                      <c:pt idx="22">
                        <c:v>BG</c:v>
                      </c:pt>
                      <c:pt idx="23">
                        <c:v>CZ</c:v>
                      </c:pt>
                      <c:pt idx="24">
                        <c:v>HR</c:v>
                      </c:pt>
                      <c:pt idx="25">
                        <c:v>RO</c:v>
                      </c:pt>
                      <c:pt idx="26">
                        <c:v>LT</c:v>
                      </c:pt>
                      <c:pt idx="27">
                        <c:v>SK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23+24+25+26'!$I$36:$I$63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0">
                        <c:v>8.1</c:v>
                      </c:pt>
                      <c:pt idx="1">
                        <c:v>15.6</c:v>
                      </c:pt>
                      <c:pt idx="2">
                        <c:v>4.3</c:v>
                      </c:pt>
                      <c:pt idx="3">
                        <c:v>13.6</c:v>
                      </c:pt>
                      <c:pt idx="4">
                        <c:v>7.1</c:v>
                      </c:pt>
                      <c:pt idx="5">
                        <c:v>3.9</c:v>
                      </c:pt>
                      <c:pt idx="6">
                        <c:v>19.2</c:v>
                      </c:pt>
                      <c:pt idx="7">
                        <c:v>18.2</c:v>
                      </c:pt>
                      <c:pt idx="8">
                        <c:v>22.6</c:v>
                      </c:pt>
                      <c:pt idx="9">
                        <c:v>13.7</c:v>
                      </c:pt>
                      <c:pt idx="10">
                        <c:v>24.4</c:v>
                      </c:pt>
                      <c:pt idx="11">
                        <c:v>5.4</c:v>
                      </c:pt>
                      <c:pt idx="12">
                        <c:v>6.4</c:v>
                      </c:pt>
                      <c:pt idx="13">
                        <c:v>22.2</c:v>
                      </c:pt>
                      <c:pt idx="14">
                        <c:v>12.8</c:v>
                      </c:pt>
                      <c:pt idx="15">
                        <c:v>18.2</c:v>
                      </c:pt>
                      <c:pt idx="16">
                        <c:v>13.4</c:v>
                      </c:pt>
                      <c:pt idx="17">
                        <c:v>3</c:v>
                      </c:pt>
                      <c:pt idx="18">
                        <c:v>20.7</c:v>
                      </c:pt>
                      <c:pt idx="19">
                        <c:v>16.2</c:v>
                      </c:pt>
                      <c:pt idx="20">
                        <c:v>5</c:v>
                      </c:pt>
                      <c:pt idx="21">
                        <c:v>13.3</c:v>
                      </c:pt>
                      <c:pt idx="22">
                        <c:v>8.1</c:v>
                      </c:pt>
                      <c:pt idx="23">
                        <c:v>10.7</c:v>
                      </c:pt>
                      <c:pt idx="24">
                        <c:v>5.2</c:v>
                      </c:pt>
                      <c:pt idx="25">
                        <c:v>3.5</c:v>
                      </c:pt>
                      <c:pt idx="26">
                        <c:v>5.8</c:v>
                      </c:pt>
                      <c:pt idx="27">
                        <c:v>1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3940-4280-A7F3-82F674EA153E}"/>
                  </c:ext>
                </c:extLst>
              </c15:ser>
            </c15:filteredBarSeries>
          </c:ext>
        </c:extLst>
      </c:barChart>
      <c:catAx>
        <c:axId val="93182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827184"/>
        <c:crosses val="autoZero"/>
        <c:auto val="1"/>
        <c:lblAlgn val="ctr"/>
        <c:lblOffset val="100"/>
        <c:noMultiLvlLbl val="0"/>
      </c:catAx>
      <c:valAx>
        <c:axId val="93182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82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77-4468-949A-CFFB60F6E100}"/>
              </c:ext>
            </c:extLst>
          </c:dPt>
          <c:cat>
            <c:strRef>
              <c:f>'Graf 23+24+25+26'!$K$36:$K$59</c:f>
              <c:strCache>
                <c:ptCount val="24"/>
                <c:pt idx="0">
                  <c:v>SI</c:v>
                </c:pt>
                <c:pt idx="1">
                  <c:v>PT</c:v>
                </c:pt>
                <c:pt idx="2">
                  <c:v>CZ</c:v>
                </c:pt>
                <c:pt idx="3">
                  <c:v>AT</c:v>
                </c:pt>
                <c:pt idx="4">
                  <c:v>IE</c:v>
                </c:pt>
                <c:pt idx="5">
                  <c:v>SE</c:v>
                </c:pt>
                <c:pt idx="6">
                  <c:v>UK</c:v>
                </c:pt>
                <c:pt idx="7">
                  <c:v>PL</c:v>
                </c:pt>
                <c:pt idx="8">
                  <c:v>DK</c:v>
                </c:pt>
                <c:pt idx="9">
                  <c:v>EL</c:v>
                </c:pt>
                <c:pt idx="10">
                  <c:v>LV</c:v>
                </c:pt>
                <c:pt idx="11">
                  <c:v>ES</c:v>
                </c:pt>
                <c:pt idx="12">
                  <c:v>LT</c:v>
                </c:pt>
                <c:pt idx="13">
                  <c:v>FI</c:v>
                </c:pt>
                <c:pt idx="14">
                  <c:v>SK</c:v>
                </c:pt>
                <c:pt idx="15">
                  <c:v>D</c:v>
                </c:pt>
                <c:pt idx="16">
                  <c:v>BG</c:v>
                </c:pt>
                <c:pt idx="17">
                  <c:v>NL</c:v>
                </c:pt>
                <c:pt idx="18">
                  <c:v>EE</c:v>
                </c:pt>
                <c:pt idx="19">
                  <c:v>HU</c:v>
                </c:pt>
                <c:pt idx="20">
                  <c:v>RO</c:v>
                </c:pt>
                <c:pt idx="21">
                  <c:v>IT</c:v>
                </c:pt>
                <c:pt idx="22">
                  <c:v>MT</c:v>
                </c:pt>
                <c:pt idx="23">
                  <c:v>LU</c:v>
                </c:pt>
              </c:strCache>
            </c:strRef>
          </c:cat>
          <c:val>
            <c:numRef>
              <c:f>'Graf 23+24+25+26'!$L$36:$L$59</c:f>
              <c:numCache>
                <c:formatCode>0.0</c:formatCode>
                <c:ptCount val="24"/>
                <c:pt idx="0">
                  <c:v>5.9</c:v>
                </c:pt>
                <c:pt idx="1">
                  <c:v>1.5</c:v>
                </c:pt>
                <c:pt idx="2">
                  <c:v>1.4</c:v>
                </c:pt>
                <c:pt idx="3">
                  <c:v>1.1000000000000001</c:v>
                </c:pt>
                <c:pt idx="4">
                  <c:v>0.8</c:v>
                </c:pt>
                <c:pt idx="5">
                  <c:v>0.7</c:v>
                </c:pt>
                <c:pt idx="6">
                  <c:v>0.4</c:v>
                </c:pt>
                <c:pt idx="7">
                  <c:v>0.31</c:v>
                </c:pt>
                <c:pt idx="8">
                  <c:v>0.3</c:v>
                </c:pt>
                <c:pt idx="9">
                  <c:v>0.22</c:v>
                </c:pt>
                <c:pt idx="10">
                  <c:v>0.21</c:v>
                </c:pt>
                <c:pt idx="11">
                  <c:v>0.2</c:v>
                </c:pt>
                <c:pt idx="12">
                  <c:v>0.14000000000000001</c:v>
                </c:pt>
                <c:pt idx="13" formatCode="0.00">
                  <c:v>0.13</c:v>
                </c:pt>
                <c:pt idx="14">
                  <c:v>0.12</c:v>
                </c:pt>
                <c:pt idx="15">
                  <c:v>0.11</c:v>
                </c:pt>
                <c:pt idx="16">
                  <c:v>0.1</c:v>
                </c:pt>
                <c:pt idx="17">
                  <c:v>0.04</c:v>
                </c:pt>
                <c:pt idx="18">
                  <c:v>0.03</c:v>
                </c:pt>
                <c:pt idx="19">
                  <c:v>0.03</c:v>
                </c:pt>
                <c:pt idx="20">
                  <c:v>2.5000000000000001E-2</c:v>
                </c:pt>
                <c:pt idx="21">
                  <c:v>1.4999999999999999E-2</c:v>
                </c:pt>
                <c:pt idx="22">
                  <c:v>0.01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77-4468-949A-CFFB60F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845224"/>
        <c:axId val="931845616"/>
      </c:barChart>
      <c:catAx>
        <c:axId val="93184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845616"/>
        <c:crosses val="autoZero"/>
        <c:auto val="1"/>
        <c:lblAlgn val="ctr"/>
        <c:lblOffset val="100"/>
        <c:noMultiLvlLbl val="0"/>
      </c:catAx>
      <c:valAx>
        <c:axId val="931845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84522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85272162408270391"/>
        </c:manualLayout>
      </c:layout>
      <c:lineChart>
        <c:grouping val="standard"/>
        <c:varyColors val="0"/>
        <c:ser>
          <c:idx val="0"/>
          <c:order val="0"/>
          <c:tx>
            <c:strRef>
              <c:f>'Graf 27 + 28'!$I$9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73-4B38-8B75-8C53E8A25F4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573-4B38-8B75-8C53E8A25F4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573-4B38-8B75-8C53E8A25F4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573-4B38-8B75-8C53E8A25F4B}"/>
              </c:ext>
            </c:extLst>
          </c:dPt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+ 28'!$K$9:$Y$9</c:f>
              <c:numCache>
                <c:formatCode>0.0</c:formatCode>
                <c:ptCount val="15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34.660011571933175</c:v>
                </c:pt>
                <c:pt idx="4">
                  <c:v>36.539885728169473</c:v>
                </c:pt>
                <c:pt idx="5">
                  <c:v>36.285179231985666</c:v>
                </c:pt>
                <c:pt idx="6">
                  <c:v>38.720708069703711</c:v>
                </c:pt>
                <c:pt idx="7">
                  <c:v>39.332723940762691</c:v>
                </c:pt>
                <c:pt idx="8">
                  <c:v>42.372561169604957</c:v>
                </c:pt>
                <c:pt idx="9">
                  <c:v>39.265717056147722</c:v>
                </c:pt>
                <c:pt idx="10">
                  <c:v>39.414772557322152</c:v>
                </c:pt>
                <c:pt idx="11">
                  <c:v>39.180487080710442</c:v>
                </c:pt>
                <c:pt idx="12">
                  <c:v>38.414723310685972</c:v>
                </c:pt>
                <c:pt idx="13">
                  <c:v>38.577586934189654</c:v>
                </c:pt>
                <c:pt idx="14">
                  <c:v>37.650558065547102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573-4B38-8B75-8C53E8A25F4B}"/>
            </c:ext>
          </c:extLst>
        </c:ser>
        <c:ser>
          <c:idx val="1"/>
          <c:order val="1"/>
          <c:tx>
            <c:strRef>
              <c:f>'Graf 27 + 28'!$I$10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+ 28'!$K$10:$U$10</c:f>
              <c:numCache>
                <c:formatCode>0</c:formatCode>
                <c:ptCount val="11"/>
                <c:pt idx="0">
                  <c:v>44.7</c:v>
                </c:pt>
                <c:pt idx="1">
                  <c:v>44.4</c:v>
                </c:pt>
                <c:pt idx="2">
                  <c:v>44.4</c:v>
                </c:pt>
                <c:pt idx="3">
                  <c:v>44.3</c:v>
                </c:pt>
                <c:pt idx="4">
                  <c:v>44.9</c:v>
                </c:pt>
                <c:pt idx="5">
                  <c:v>46.1</c:v>
                </c:pt>
                <c:pt idx="6">
                  <c:v>46.8</c:v>
                </c:pt>
                <c:pt idx="7">
                  <c:v>46.7</c:v>
                </c:pt>
                <c:pt idx="8">
                  <c:v>46.3</c:v>
                </c:pt>
                <c:pt idx="9">
                  <c:v>46.1</c:v>
                </c:pt>
                <c:pt idx="10">
                  <c:v>46.2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573-4B38-8B75-8C53E8A25F4B}"/>
            </c:ext>
          </c:extLst>
        </c:ser>
        <c:ser>
          <c:idx val="2"/>
          <c:order val="2"/>
          <c:tx>
            <c:strRef>
              <c:f>'Graf 27 + 28'!$I$12</c:f>
              <c:strCache>
                <c:ptCount val="1"/>
                <c:pt idx="0">
                  <c:v>V4 bez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+ 28'!$K$12:$U$12</c:f>
              <c:numCache>
                <c:formatCode>0</c:formatCode>
                <c:ptCount val="11"/>
                <c:pt idx="0">
                  <c:v>41.866666666666667</c:v>
                </c:pt>
                <c:pt idx="1">
                  <c:v>41.266666666666673</c:v>
                </c:pt>
                <c:pt idx="2">
                  <c:v>40.6</c:v>
                </c:pt>
                <c:pt idx="3">
                  <c:v>40.699999999999996</c:v>
                </c:pt>
                <c:pt idx="4">
                  <c:v>41.2</c:v>
                </c:pt>
                <c:pt idx="5">
                  <c:v>41.9</c:v>
                </c:pt>
                <c:pt idx="6">
                  <c:v>42.2</c:v>
                </c:pt>
                <c:pt idx="7">
                  <c:v>41.9</c:v>
                </c:pt>
                <c:pt idx="8">
                  <c:v>42.733333333333327</c:v>
                </c:pt>
                <c:pt idx="9">
                  <c:v>41.300000000000004</c:v>
                </c:pt>
                <c:pt idx="10">
                  <c:v>41.5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573-4B38-8B75-8C53E8A25F4B}"/>
            </c:ext>
          </c:extLst>
        </c:ser>
        <c:ser>
          <c:idx val="3"/>
          <c:order val="3"/>
          <c:tx>
            <c:strRef>
              <c:f>'Graf 27 + 28'!$I$11</c:f>
              <c:strCache>
                <c:ptCount val="1"/>
                <c:pt idx="0">
                  <c:v>Priemer EÚ (28 krajín)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+ 28'!$K$11:$U$11</c:f>
              <c:numCache>
                <c:formatCode>0</c:formatCode>
                <c:ptCount val="11"/>
                <c:pt idx="0">
                  <c:v>43.8</c:v>
                </c:pt>
                <c:pt idx="1">
                  <c:v>43.8</c:v>
                </c:pt>
                <c:pt idx="2">
                  <c:v>43.5</c:v>
                </c:pt>
                <c:pt idx="3">
                  <c:v>43.5</c:v>
                </c:pt>
                <c:pt idx="4">
                  <c:v>44</c:v>
                </c:pt>
                <c:pt idx="5">
                  <c:v>44.7</c:v>
                </c:pt>
                <c:pt idx="6">
                  <c:v>45.3</c:v>
                </c:pt>
                <c:pt idx="7">
                  <c:v>45.1</c:v>
                </c:pt>
                <c:pt idx="8">
                  <c:v>44.7</c:v>
                </c:pt>
                <c:pt idx="9">
                  <c:v>44.7</c:v>
                </c:pt>
                <c:pt idx="10">
                  <c:v>44.9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573-4B38-8B75-8C53E8A2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846008"/>
        <c:axId val="931846400"/>
      </c:lineChart>
      <c:catAx>
        <c:axId val="9318460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846400"/>
        <c:crosses val="autoZero"/>
        <c:auto val="1"/>
        <c:lblAlgn val="ctr"/>
        <c:lblOffset val="100"/>
        <c:noMultiLvlLbl val="0"/>
      </c:catAx>
      <c:valAx>
        <c:axId val="931846400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8460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926380019765206E-2"/>
          <c:y val="0.76124109072914947"/>
          <c:w val="0.82655269718637847"/>
          <c:h val="0.12894460408545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0.16322006446018683"/>
          <c:w val="0.91257922028039162"/>
          <c:h val="0.74845877091349344"/>
        </c:manualLayout>
      </c:layout>
      <c:lineChart>
        <c:grouping val="standard"/>
        <c:varyColors val="0"/>
        <c:ser>
          <c:idx val="0"/>
          <c:order val="0"/>
          <c:tx>
            <c:strRef>
              <c:f>'Graf 27 + 28'!$I$24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B8-4728-B309-3F2A62126809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B8-4728-B309-3F2A62126809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B8-4728-B309-3F2A62126809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AB8-4728-B309-3F2A62126809}"/>
              </c:ext>
            </c:extLst>
          </c:dPt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+ 28'!$K$24:$Y$24</c:f>
              <c:numCache>
                <c:formatCode>#\ ##0.0</c:formatCode>
                <c:ptCount val="15"/>
                <c:pt idx="0">
                  <c:v>25.906565652560747</c:v>
                </c:pt>
                <c:pt idx="1">
                  <c:v>27.803847479106924</c:v>
                </c:pt>
                <c:pt idx="2">
                  <c:v>28.757745251323346</c:v>
                </c:pt>
                <c:pt idx="3">
                  <c:v>27.990316274843767</c:v>
                </c:pt>
                <c:pt idx="4">
                  <c:v>28.534188773292108</c:v>
                </c:pt>
                <c:pt idx="5">
                  <c:v>28.194923675833927</c:v>
                </c:pt>
                <c:pt idx="6">
                  <c:v>30.138382466962021</c:v>
                </c:pt>
                <c:pt idx="7">
                  <c:v>31.032706181014142</c:v>
                </c:pt>
                <c:pt idx="8">
                  <c:v>32.025477644550158</c:v>
                </c:pt>
                <c:pt idx="9">
                  <c:v>32.260946555916838</c:v>
                </c:pt>
                <c:pt idx="10">
                  <c:v>33.015464283844615</c:v>
                </c:pt>
                <c:pt idx="11">
                  <c:v>33.351951673642091</c:v>
                </c:pt>
                <c:pt idx="12">
                  <c:v>32.852498080182627</c:v>
                </c:pt>
                <c:pt idx="13">
                  <c:v>32.370145203413884</c:v>
                </c:pt>
                <c:pt idx="14" formatCode="0.0">
                  <c:v>31.735559538413614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AB8-4728-B309-3F2A62126809}"/>
            </c:ext>
          </c:extLst>
        </c:ser>
        <c:ser>
          <c:idx val="1"/>
          <c:order val="1"/>
          <c:tx>
            <c:strRef>
              <c:f>'Graf 27 + 28'!$I$25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+ 28'!$K$25:$U$25</c:f>
              <c:numCache>
                <c:formatCode>#\ ##0.0</c:formatCode>
                <c:ptCount val="11"/>
                <c:pt idx="0">
                  <c:v>40</c:v>
                </c:pt>
                <c:pt idx="1">
                  <c:v>39.5</c:v>
                </c:pt>
                <c:pt idx="2">
                  <c:v>39.300000000000004</c:v>
                </c:pt>
                <c:pt idx="3">
                  <c:v>39.199999999999996</c:v>
                </c:pt>
                <c:pt idx="4">
                  <c:v>39.699999999999996</c:v>
                </c:pt>
                <c:pt idx="5">
                  <c:v>40.700000000000003</c:v>
                </c:pt>
                <c:pt idx="6">
                  <c:v>41.4</c:v>
                </c:pt>
                <c:pt idx="7">
                  <c:v>41.3</c:v>
                </c:pt>
                <c:pt idx="8">
                  <c:v>41.099999999999994</c:v>
                </c:pt>
                <c:pt idx="9">
                  <c:v>41.2</c:v>
                </c:pt>
                <c:pt idx="10">
                  <c:v>41.5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AB8-4728-B309-3F2A62126809}"/>
            </c:ext>
          </c:extLst>
        </c:ser>
        <c:ser>
          <c:idx val="2"/>
          <c:order val="2"/>
          <c:tx>
            <c:strRef>
              <c:f>'Graf 27 + 28'!$I$27</c:f>
              <c:strCache>
                <c:ptCount val="1"/>
                <c:pt idx="0">
                  <c:v>V4 bez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+ 28'!$K$27:$U$27</c:f>
              <c:numCache>
                <c:formatCode>#\ ##0.0</c:formatCode>
                <c:ptCount val="11"/>
                <c:pt idx="0">
                  <c:v>36.366666666666667</c:v>
                </c:pt>
                <c:pt idx="1">
                  <c:v>35.800000000000004</c:v>
                </c:pt>
                <c:pt idx="2">
                  <c:v>34.366666666666667</c:v>
                </c:pt>
                <c:pt idx="3">
                  <c:v>34</c:v>
                </c:pt>
                <c:pt idx="4">
                  <c:v>34.299999999999997</c:v>
                </c:pt>
                <c:pt idx="5">
                  <c:v>35.133333333333333</c:v>
                </c:pt>
                <c:pt idx="6">
                  <c:v>35.199999999999996</c:v>
                </c:pt>
                <c:pt idx="7">
                  <c:v>34.833333333333336</c:v>
                </c:pt>
                <c:pt idx="8">
                  <c:v>35.266666666666666</c:v>
                </c:pt>
                <c:pt idx="9">
                  <c:v>36.06666666666667</c:v>
                </c:pt>
                <c:pt idx="10">
                  <c:v>36.133333333333333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AB8-4728-B309-3F2A62126809}"/>
            </c:ext>
          </c:extLst>
        </c:ser>
        <c:ser>
          <c:idx val="3"/>
          <c:order val="3"/>
          <c:tx>
            <c:strRef>
              <c:f>'Graf 27 + 28'!$I$26</c:f>
              <c:strCache>
                <c:ptCount val="1"/>
                <c:pt idx="0">
                  <c:v>Priemer EÚ (28 krajín)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+ 28'!$K$26:$U$26</c:f>
              <c:numCache>
                <c:formatCode>#\ ##0.0</c:formatCode>
                <c:ptCount val="11"/>
                <c:pt idx="0">
                  <c:v>39</c:v>
                </c:pt>
                <c:pt idx="1">
                  <c:v>38.799999999999997</c:v>
                </c:pt>
                <c:pt idx="2">
                  <c:v>38.199999999999996</c:v>
                </c:pt>
                <c:pt idx="3">
                  <c:v>38.299999999999997</c:v>
                </c:pt>
                <c:pt idx="4">
                  <c:v>38.9</c:v>
                </c:pt>
                <c:pt idx="5">
                  <c:v>39.400000000000006</c:v>
                </c:pt>
                <c:pt idx="6">
                  <c:v>39.9</c:v>
                </c:pt>
                <c:pt idx="7">
                  <c:v>39.9</c:v>
                </c:pt>
                <c:pt idx="8">
                  <c:v>39.699999999999996</c:v>
                </c:pt>
                <c:pt idx="9">
                  <c:v>40</c:v>
                </c:pt>
                <c:pt idx="10">
                  <c:v>40.299999999999997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AB8-4728-B309-3F2A6212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277808"/>
        <c:axId val="913278200"/>
      </c:lineChart>
      <c:catAx>
        <c:axId val="91327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3278200"/>
        <c:crosses val="autoZero"/>
        <c:auto val="1"/>
        <c:lblAlgn val="ctr"/>
        <c:lblOffset val="100"/>
        <c:noMultiLvlLbl val="0"/>
      </c:catAx>
      <c:valAx>
        <c:axId val="913278200"/>
        <c:scaling>
          <c:orientation val="minMax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327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090460976191727E-2"/>
          <c:y val="2.0008570357276767E-2"/>
          <c:w val="0.79211537582192471"/>
          <c:h val="0.15304274689039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55656136500058928"/>
        </c:manualLayout>
      </c:layout>
      <c:lineChart>
        <c:grouping val="standard"/>
        <c:varyColors val="0"/>
        <c:ser>
          <c:idx val="0"/>
          <c:order val="0"/>
          <c:tx>
            <c:strRef>
              <c:f>'Graf 27 + 28'!$J$9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73-4B38-8B75-8C53E8A25F4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573-4B38-8B75-8C53E8A25F4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573-4B38-8B75-8C53E8A25F4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573-4B38-8B75-8C53E8A25F4B}"/>
              </c:ext>
            </c:extLst>
          </c:dPt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+ 28'!$K$9:$Y$9</c:f>
              <c:numCache>
                <c:formatCode>0.0</c:formatCode>
                <c:ptCount val="15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34.660011571933175</c:v>
                </c:pt>
                <c:pt idx="4">
                  <c:v>36.539885728169473</c:v>
                </c:pt>
                <c:pt idx="5">
                  <c:v>36.285179231985666</c:v>
                </c:pt>
                <c:pt idx="6">
                  <c:v>38.720708069703711</c:v>
                </c:pt>
                <c:pt idx="7">
                  <c:v>39.332723940762691</c:v>
                </c:pt>
                <c:pt idx="8">
                  <c:v>42.372561169604957</c:v>
                </c:pt>
                <c:pt idx="9">
                  <c:v>39.265717056147722</c:v>
                </c:pt>
                <c:pt idx="10">
                  <c:v>39.414772557322152</c:v>
                </c:pt>
                <c:pt idx="11">
                  <c:v>39.180487080710442</c:v>
                </c:pt>
                <c:pt idx="12">
                  <c:v>38.414723310685972</c:v>
                </c:pt>
                <c:pt idx="13">
                  <c:v>38.577586934189654</c:v>
                </c:pt>
                <c:pt idx="14">
                  <c:v>37.650558065547102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573-4B38-8B75-8C53E8A25F4B}"/>
            </c:ext>
          </c:extLst>
        </c:ser>
        <c:ser>
          <c:idx val="1"/>
          <c:order val="1"/>
          <c:tx>
            <c:strRef>
              <c:f>'Graf 27 + 28'!$J$10</c:f>
              <c:strCache>
                <c:ptCount val="1"/>
                <c:pt idx="0">
                  <c:v>Eurozone average (19 countries)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+ 28'!$K$10:$U$10</c:f>
              <c:numCache>
                <c:formatCode>0</c:formatCode>
                <c:ptCount val="11"/>
                <c:pt idx="0">
                  <c:v>44.7</c:v>
                </c:pt>
                <c:pt idx="1">
                  <c:v>44.4</c:v>
                </c:pt>
                <c:pt idx="2">
                  <c:v>44.4</c:v>
                </c:pt>
                <c:pt idx="3">
                  <c:v>44.3</c:v>
                </c:pt>
                <c:pt idx="4">
                  <c:v>44.9</c:v>
                </c:pt>
                <c:pt idx="5">
                  <c:v>46.1</c:v>
                </c:pt>
                <c:pt idx="6">
                  <c:v>46.8</c:v>
                </c:pt>
                <c:pt idx="7">
                  <c:v>46.7</c:v>
                </c:pt>
                <c:pt idx="8">
                  <c:v>46.3</c:v>
                </c:pt>
                <c:pt idx="9">
                  <c:v>46.1</c:v>
                </c:pt>
                <c:pt idx="10">
                  <c:v>46.2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573-4B38-8B75-8C53E8A25F4B}"/>
            </c:ext>
          </c:extLst>
        </c:ser>
        <c:ser>
          <c:idx val="2"/>
          <c:order val="2"/>
          <c:tx>
            <c:strRef>
              <c:f>'Graf 27 + 28'!$J$12</c:f>
              <c:strCache>
                <c:ptCount val="1"/>
                <c:pt idx="0">
                  <c:v>V4 without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+ 28'!$K$12:$U$12</c:f>
              <c:numCache>
                <c:formatCode>0</c:formatCode>
                <c:ptCount val="11"/>
                <c:pt idx="0">
                  <c:v>41.866666666666667</c:v>
                </c:pt>
                <c:pt idx="1">
                  <c:v>41.266666666666673</c:v>
                </c:pt>
                <c:pt idx="2">
                  <c:v>40.6</c:v>
                </c:pt>
                <c:pt idx="3">
                  <c:v>40.699999999999996</c:v>
                </c:pt>
                <c:pt idx="4">
                  <c:v>41.2</c:v>
                </c:pt>
                <c:pt idx="5">
                  <c:v>41.9</c:v>
                </c:pt>
                <c:pt idx="6">
                  <c:v>42.2</c:v>
                </c:pt>
                <c:pt idx="7">
                  <c:v>41.9</c:v>
                </c:pt>
                <c:pt idx="8">
                  <c:v>42.733333333333327</c:v>
                </c:pt>
                <c:pt idx="9">
                  <c:v>41.300000000000004</c:v>
                </c:pt>
                <c:pt idx="10">
                  <c:v>41.5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573-4B38-8B75-8C53E8A25F4B}"/>
            </c:ext>
          </c:extLst>
        </c:ser>
        <c:ser>
          <c:idx val="3"/>
          <c:order val="3"/>
          <c:tx>
            <c:strRef>
              <c:f>'Graf 27 + 28'!$J$11</c:f>
              <c:strCache>
                <c:ptCount val="1"/>
                <c:pt idx="0">
                  <c:v>EU average (28 countries)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+ 28'!$K$6:$Y$6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+ 28'!$K$11:$U$11</c:f>
              <c:numCache>
                <c:formatCode>0</c:formatCode>
                <c:ptCount val="11"/>
                <c:pt idx="0">
                  <c:v>43.8</c:v>
                </c:pt>
                <c:pt idx="1">
                  <c:v>43.8</c:v>
                </c:pt>
                <c:pt idx="2">
                  <c:v>43.5</c:v>
                </c:pt>
                <c:pt idx="3">
                  <c:v>43.5</c:v>
                </c:pt>
                <c:pt idx="4">
                  <c:v>44</c:v>
                </c:pt>
                <c:pt idx="5">
                  <c:v>44.7</c:v>
                </c:pt>
                <c:pt idx="6">
                  <c:v>45.3</c:v>
                </c:pt>
                <c:pt idx="7">
                  <c:v>45.1</c:v>
                </c:pt>
                <c:pt idx="8">
                  <c:v>44.7</c:v>
                </c:pt>
                <c:pt idx="9">
                  <c:v>44.7</c:v>
                </c:pt>
                <c:pt idx="10">
                  <c:v>44.9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573-4B38-8B75-8C53E8A2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278984"/>
        <c:axId val="913279376"/>
      </c:lineChart>
      <c:catAx>
        <c:axId val="9132789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3279376"/>
        <c:crosses val="autoZero"/>
        <c:auto val="1"/>
        <c:lblAlgn val="ctr"/>
        <c:lblOffset val="100"/>
        <c:noMultiLvlLbl val="0"/>
      </c:catAx>
      <c:valAx>
        <c:axId val="91327937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32789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875975861073627E-2"/>
          <c:y val="0.81727454954206658"/>
          <c:w val="0.87474557015370047"/>
          <c:h val="0.17957761608912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913409366443E-2"/>
          <c:y val="5.8934824012322924E-2"/>
          <c:w val="0.91257922028039162"/>
          <c:h val="0.61030615117746956"/>
        </c:manualLayout>
      </c:layout>
      <c:lineChart>
        <c:grouping val="standard"/>
        <c:varyColors val="0"/>
        <c:ser>
          <c:idx val="0"/>
          <c:order val="0"/>
          <c:tx>
            <c:strRef>
              <c:f>'Graf 27 + 28'!$J$24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B8-4728-B309-3F2A62126809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B8-4728-B309-3F2A62126809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B8-4728-B309-3F2A62126809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AB8-4728-B309-3F2A62126809}"/>
              </c:ext>
            </c:extLst>
          </c:dPt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+ 28'!$K$24:$Y$24</c:f>
              <c:numCache>
                <c:formatCode>#\ ##0.0</c:formatCode>
                <c:ptCount val="15"/>
                <c:pt idx="0">
                  <c:v>25.906565652560747</c:v>
                </c:pt>
                <c:pt idx="1">
                  <c:v>27.803847479106924</c:v>
                </c:pt>
                <c:pt idx="2">
                  <c:v>28.757745251323346</c:v>
                </c:pt>
                <c:pt idx="3">
                  <c:v>27.990316274843767</c:v>
                </c:pt>
                <c:pt idx="4">
                  <c:v>28.534188773292108</c:v>
                </c:pt>
                <c:pt idx="5">
                  <c:v>28.194923675833927</c:v>
                </c:pt>
                <c:pt idx="6">
                  <c:v>30.138382466962021</c:v>
                </c:pt>
                <c:pt idx="7">
                  <c:v>31.032706181014142</c:v>
                </c:pt>
                <c:pt idx="8">
                  <c:v>32.025477644550158</c:v>
                </c:pt>
                <c:pt idx="9">
                  <c:v>32.260946555916838</c:v>
                </c:pt>
                <c:pt idx="10">
                  <c:v>33.015464283844615</c:v>
                </c:pt>
                <c:pt idx="11">
                  <c:v>33.351951673642091</c:v>
                </c:pt>
                <c:pt idx="12">
                  <c:v>32.852498080182627</c:v>
                </c:pt>
                <c:pt idx="13">
                  <c:v>32.370145203413884</c:v>
                </c:pt>
                <c:pt idx="14" formatCode="0.0">
                  <c:v>31.735559538413614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AB8-4728-B309-3F2A62126809}"/>
            </c:ext>
          </c:extLst>
        </c:ser>
        <c:ser>
          <c:idx val="1"/>
          <c:order val="1"/>
          <c:tx>
            <c:strRef>
              <c:f>'Graf 27 + 28'!$J$25</c:f>
              <c:strCache>
                <c:ptCount val="1"/>
                <c:pt idx="0">
                  <c:v>Eurozone average (19 countries)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+ 28'!$K$25:$U$25</c:f>
              <c:numCache>
                <c:formatCode>#\ ##0.0</c:formatCode>
                <c:ptCount val="11"/>
                <c:pt idx="0">
                  <c:v>40</c:v>
                </c:pt>
                <c:pt idx="1">
                  <c:v>39.5</c:v>
                </c:pt>
                <c:pt idx="2">
                  <c:v>39.300000000000004</c:v>
                </c:pt>
                <c:pt idx="3">
                  <c:v>39.199999999999996</c:v>
                </c:pt>
                <c:pt idx="4">
                  <c:v>39.699999999999996</c:v>
                </c:pt>
                <c:pt idx="5">
                  <c:v>40.700000000000003</c:v>
                </c:pt>
                <c:pt idx="6">
                  <c:v>41.4</c:v>
                </c:pt>
                <c:pt idx="7">
                  <c:v>41.3</c:v>
                </c:pt>
                <c:pt idx="8">
                  <c:v>41.099999999999994</c:v>
                </c:pt>
                <c:pt idx="9">
                  <c:v>41.2</c:v>
                </c:pt>
                <c:pt idx="10">
                  <c:v>41.5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AB8-4728-B309-3F2A62126809}"/>
            </c:ext>
          </c:extLst>
        </c:ser>
        <c:ser>
          <c:idx val="2"/>
          <c:order val="2"/>
          <c:tx>
            <c:strRef>
              <c:f>'Graf 27 + 28'!$J$27</c:f>
              <c:strCache>
                <c:ptCount val="1"/>
                <c:pt idx="0">
                  <c:v>V4 without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+ 28'!$K$27:$U$27</c:f>
              <c:numCache>
                <c:formatCode>#\ ##0.0</c:formatCode>
                <c:ptCount val="11"/>
                <c:pt idx="0">
                  <c:v>36.366666666666667</c:v>
                </c:pt>
                <c:pt idx="1">
                  <c:v>35.800000000000004</c:v>
                </c:pt>
                <c:pt idx="2">
                  <c:v>34.366666666666667</c:v>
                </c:pt>
                <c:pt idx="3">
                  <c:v>34</c:v>
                </c:pt>
                <c:pt idx="4">
                  <c:v>34.299999999999997</c:v>
                </c:pt>
                <c:pt idx="5">
                  <c:v>35.133333333333333</c:v>
                </c:pt>
                <c:pt idx="6">
                  <c:v>35.199999999999996</c:v>
                </c:pt>
                <c:pt idx="7">
                  <c:v>34.833333333333336</c:v>
                </c:pt>
                <c:pt idx="8">
                  <c:v>35.266666666666666</c:v>
                </c:pt>
                <c:pt idx="9">
                  <c:v>36.06666666666667</c:v>
                </c:pt>
                <c:pt idx="10">
                  <c:v>36.133333333333333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AB8-4728-B309-3F2A62126809}"/>
            </c:ext>
          </c:extLst>
        </c:ser>
        <c:ser>
          <c:idx val="3"/>
          <c:order val="3"/>
          <c:tx>
            <c:strRef>
              <c:f>'Graf 27 + 28'!$J$26</c:f>
              <c:strCache>
                <c:ptCount val="1"/>
                <c:pt idx="0">
                  <c:v>EU average (28 countries)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27 + 28'!$K$21:$Y$21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'Graf 27 + 28'!$K$26:$U$26</c:f>
              <c:numCache>
                <c:formatCode>#\ ##0.0</c:formatCode>
                <c:ptCount val="11"/>
                <c:pt idx="0">
                  <c:v>39</c:v>
                </c:pt>
                <c:pt idx="1">
                  <c:v>38.799999999999997</c:v>
                </c:pt>
                <c:pt idx="2">
                  <c:v>38.199999999999996</c:v>
                </c:pt>
                <c:pt idx="3">
                  <c:v>38.299999999999997</c:v>
                </c:pt>
                <c:pt idx="4">
                  <c:v>38.9</c:v>
                </c:pt>
                <c:pt idx="5">
                  <c:v>39.400000000000006</c:v>
                </c:pt>
                <c:pt idx="6">
                  <c:v>39.9</c:v>
                </c:pt>
                <c:pt idx="7">
                  <c:v>39.9</c:v>
                </c:pt>
                <c:pt idx="8">
                  <c:v>39.699999999999996</c:v>
                </c:pt>
                <c:pt idx="9">
                  <c:v>40</c:v>
                </c:pt>
                <c:pt idx="10">
                  <c:v>40.299999999999997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AB8-4728-B309-3F2A6212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280160"/>
        <c:axId val="913280552"/>
      </c:lineChart>
      <c:catAx>
        <c:axId val="9132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3280552"/>
        <c:crosses val="autoZero"/>
        <c:auto val="1"/>
        <c:lblAlgn val="ctr"/>
        <c:lblOffset val="100"/>
        <c:noMultiLvlLbl val="0"/>
      </c:catAx>
      <c:valAx>
        <c:axId val="91328055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132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227457788248919E-2"/>
          <c:y val="0.82975114078386236"/>
          <c:w val="0.89185297703928723"/>
          <c:h val="0.15304274689039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29 + 30'!$B$22</c:f>
              <c:strCache>
                <c:ptCount val="1"/>
                <c:pt idx="0">
                  <c:v>Sociálna poisťovňa (EAO+dlžné)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+ 30'!$D$22:$J$22</c:f>
              <c:numCache>
                <c:formatCode>0.00</c:formatCode>
                <c:ptCount val="7"/>
                <c:pt idx="0">
                  <c:v>7.7934960859785907</c:v>
                </c:pt>
                <c:pt idx="1">
                  <c:v>8.1036417949197173</c:v>
                </c:pt>
                <c:pt idx="2">
                  <c:v>8.361440095478569</c:v>
                </c:pt>
                <c:pt idx="3">
                  <c:v>8.6786438804149455</c:v>
                </c:pt>
                <c:pt idx="4">
                  <c:v>8.4276725008974047</c:v>
                </c:pt>
                <c:pt idx="5">
                  <c:v>8.4186877280524026</c:v>
                </c:pt>
                <c:pt idx="6">
                  <c:v>8.3955172908763185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7D-44CB-BBAE-A1EA7AF4C318}"/>
            </c:ext>
          </c:extLst>
        </c:ser>
        <c:ser>
          <c:idx val="1"/>
          <c:order val="1"/>
          <c:tx>
            <c:strRef>
              <c:f>'Graf 29 + 30'!$B$23</c:f>
              <c:strCache>
                <c:ptCount val="1"/>
                <c:pt idx="0">
                  <c:v>Daň z pridanej hodnoty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+ 30'!$D$23:$J$23</c:f>
              <c:numCache>
                <c:formatCode>0.00</c:formatCode>
                <c:ptCount val="7"/>
                <c:pt idx="0">
                  <c:v>6.8489932372771207</c:v>
                </c:pt>
                <c:pt idx="1">
                  <c:v>6.6713505771601209</c:v>
                </c:pt>
                <c:pt idx="2">
                  <c:v>6.9728241232965935</c:v>
                </c:pt>
                <c:pt idx="3">
                  <c:v>7.0299701086759203</c:v>
                </c:pt>
                <c:pt idx="4">
                  <c:v>6.8884179966994976</c:v>
                </c:pt>
                <c:pt idx="5">
                  <c:v>6.8100467113175256</c:v>
                </c:pt>
                <c:pt idx="6">
                  <c:v>6.7553144164034133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7D-44CB-BBAE-A1EA7AF4C318}"/>
            </c:ext>
          </c:extLst>
        </c:ser>
        <c:ser>
          <c:idx val="2"/>
          <c:order val="2"/>
          <c:tx>
            <c:strRef>
              <c:f>'Graf 29 + 30'!$B$24</c:f>
              <c:strCache>
                <c:ptCount val="1"/>
                <c:pt idx="0">
                  <c:v>Ostatné 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+ 30'!$D$24:$J$24</c:f>
              <c:numCache>
                <c:formatCode>0.00</c:formatCode>
                <c:ptCount val="7"/>
                <c:pt idx="0">
                  <c:v>4.4004384953340017</c:v>
                </c:pt>
                <c:pt idx="1">
                  <c:v>4.5095824069200043</c:v>
                </c:pt>
                <c:pt idx="2">
                  <c:v>4.4681028307616462</c:v>
                </c:pt>
                <c:pt idx="3">
                  <c:v>4.4400680630276321</c:v>
                </c:pt>
                <c:pt idx="4">
                  <c:v>4.3302226849733785</c:v>
                </c:pt>
                <c:pt idx="5">
                  <c:v>4.0087033124276967</c:v>
                </c:pt>
                <c:pt idx="6">
                  <c:v>3.5025456565622171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7D-44CB-BBAE-A1EA7AF4C318}"/>
            </c:ext>
          </c:extLst>
        </c:ser>
        <c:ser>
          <c:idx val="3"/>
          <c:order val="3"/>
          <c:tx>
            <c:strRef>
              <c:f>'Graf 29 + 30'!$B$25</c:f>
              <c:strCache>
                <c:ptCount val="1"/>
                <c:pt idx="0">
                  <c:v>Zdravotné poisťovne (EAO+dlžné)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+ 30'!$D$25:$J$25</c:f>
              <c:numCache>
                <c:formatCode>0.00</c:formatCode>
                <c:ptCount val="7"/>
                <c:pt idx="0">
                  <c:v>3.6496214726250802</c:v>
                </c:pt>
                <c:pt idx="1">
                  <c:v>3.6703036155890496</c:v>
                </c:pt>
                <c:pt idx="2">
                  <c:v>3.9234461640430505</c:v>
                </c:pt>
                <c:pt idx="3">
                  <c:v>4.0602023293709113</c:v>
                </c:pt>
                <c:pt idx="4">
                  <c:v>4.1574701479402272</c:v>
                </c:pt>
                <c:pt idx="5">
                  <c:v>4.1763161294148716</c:v>
                </c:pt>
                <c:pt idx="6">
                  <c:v>4.1798425401206538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7D-44CB-BBAE-A1EA7AF4C318}"/>
            </c:ext>
          </c:extLst>
        </c:ser>
        <c:ser>
          <c:idx val="4"/>
          <c:order val="4"/>
          <c:tx>
            <c:strRef>
              <c:f>'Graf 29 + 30'!$B$26</c:f>
              <c:strCache>
                <c:ptCount val="1"/>
                <c:pt idx="0">
                  <c:v>Daň z príjmu právnických osôb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+ 30'!$D$26:$J$26</c:f>
              <c:numCache>
                <c:formatCode>0.00</c:formatCode>
                <c:ptCount val="7"/>
                <c:pt idx="0">
                  <c:v>3.5558770579741141</c:v>
                </c:pt>
                <c:pt idx="1">
                  <c:v>3.3315287814049563</c:v>
                </c:pt>
                <c:pt idx="2">
                  <c:v>3.2710941787117012</c:v>
                </c:pt>
                <c:pt idx="3">
                  <c:v>3.0348459582416005</c:v>
                </c:pt>
                <c:pt idx="4">
                  <c:v>2.9979650348955249</c:v>
                </c:pt>
                <c:pt idx="5">
                  <c:v>2.9379813704038149</c:v>
                </c:pt>
                <c:pt idx="6">
                  <c:v>2.9357728981103453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7D-44CB-BBAE-A1EA7AF4C318}"/>
            </c:ext>
          </c:extLst>
        </c:ser>
        <c:ser>
          <c:idx val="5"/>
          <c:order val="5"/>
          <c:tx>
            <c:strRef>
              <c:f>'Graf 29 + 30'!$B$27</c:f>
              <c:strCache>
                <c:ptCount val="1"/>
                <c:pt idx="0">
                  <c:v>Daň z príjmu fyzických osôb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+ 30'!$D$27:$J$27</c:f>
              <c:numCache>
                <c:formatCode>0.00</c:formatCode>
                <c:ptCount val="7"/>
                <c:pt idx="0">
                  <c:v>3.1130754672906744</c:v>
                </c:pt>
                <c:pt idx="1">
                  <c:v>3.2982003359807868</c:v>
                </c:pt>
                <c:pt idx="2">
                  <c:v>3.365798870133029</c:v>
                </c:pt>
                <c:pt idx="3">
                  <c:v>3.5314569338719624</c:v>
                </c:pt>
                <c:pt idx="4">
                  <c:v>3.5424855469491714</c:v>
                </c:pt>
                <c:pt idx="5">
                  <c:v>3.5953339438282028</c:v>
                </c:pt>
                <c:pt idx="6">
                  <c:v>3.6279185221667523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7D-44CB-BBAE-A1EA7AF4C318}"/>
            </c:ext>
          </c:extLst>
        </c:ser>
        <c:ser>
          <c:idx val="6"/>
          <c:order val="6"/>
          <c:tx>
            <c:strRef>
              <c:f>'Graf 29 + 30'!$B$28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+ 30'!$D$21:$J$21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'Graf 29 + 30'!$D$28:$J$28</c:f>
              <c:numCache>
                <c:formatCode>0.00</c:formatCode>
                <c:ptCount val="7"/>
                <c:pt idx="0">
                  <c:v>2.6639758280705803</c:v>
                </c:pt>
                <c:pt idx="1">
                  <c:v>2.6763390439422086</c:v>
                </c:pt>
                <c:pt idx="2">
                  <c:v>2.6527580214200275</c:v>
                </c:pt>
                <c:pt idx="3">
                  <c:v>2.5767644000391199</c:v>
                </c:pt>
                <c:pt idx="4">
                  <c:v>2.5082641678274262</c:v>
                </c:pt>
                <c:pt idx="5">
                  <c:v>2.4230760079693741</c:v>
                </c:pt>
                <c:pt idx="6">
                  <c:v>2.338648214173916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7D-44CB-BBAE-A1EA7AF4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1119848"/>
        <c:axId val="931120240"/>
      </c:barChart>
      <c:lineChart>
        <c:grouping val="standard"/>
        <c:varyColors val="0"/>
        <c:ser>
          <c:idx val="7"/>
          <c:order val="7"/>
          <c:tx>
            <c:strRef>
              <c:f>'Graf 29 + 30'!$B$30</c:f>
              <c:strCache>
                <c:ptCount val="1"/>
                <c:pt idx="0">
                  <c:v>Podiel daní na HDP (% HDP)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668077269527404E-2"/>
                  <c:y val="-9.663415826123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7D-44CB-BBAE-A1EA7AF4C318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+ 30'!$D$21:$I$21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29 + 30'!$D$30:$J$30</c:f>
              <c:numCache>
                <c:formatCode>0.0</c:formatCode>
                <c:ptCount val="7"/>
                <c:pt idx="0">
                  <c:v>32.025477644550158</c:v>
                </c:pt>
                <c:pt idx="1">
                  <c:v>32.260946555916838</c:v>
                </c:pt>
                <c:pt idx="2">
                  <c:v>33.015464283844615</c:v>
                </c:pt>
                <c:pt idx="3">
                  <c:v>33.351951673642091</c:v>
                </c:pt>
                <c:pt idx="4">
                  <c:v>32.852498080182627</c:v>
                </c:pt>
                <c:pt idx="5">
                  <c:v>32.370145203413884</c:v>
                </c:pt>
                <c:pt idx="6">
                  <c:v>31.735559538413614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837D-44CB-BBAE-A1EA7AF4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119848"/>
        <c:axId val="931120240"/>
      </c:lineChart>
      <c:catAx>
        <c:axId val="93111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20240"/>
        <c:crosses val="autoZero"/>
        <c:auto val="1"/>
        <c:lblAlgn val="ctr"/>
        <c:lblOffset val="100"/>
        <c:noMultiLvlLbl val="0"/>
      </c:catAx>
      <c:valAx>
        <c:axId val="93112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1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019258530183727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29 + 30'!$L$26</c:f>
              <c:strCache>
                <c:ptCount val="1"/>
                <c:pt idx="0">
                  <c:v>Práca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+ 30'!$N$21:$R$21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EU</c:v>
                </c:pt>
              </c:strCache>
            </c:strRef>
          </c:cat>
          <c:val>
            <c:numRef>
              <c:f>'Graf 29 + 30'!$N$26:$R$26</c:f>
              <c:numCache>
                <c:formatCode>0.0</c:formatCode>
                <c:ptCount val="5"/>
                <c:pt idx="0">
                  <c:v>54.489164086687303</c:v>
                </c:pt>
                <c:pt idx="1">
                  <c:v>53.935860058309039</c:v>
                </c:pt>
                <c:pt idx="2">
                  <c:v>48.84910485933505</c:v>
                </c:pt>
                <c:pt idx="3">
                  <c:v>55.102040816326536</c:v>
                </c:pt>
                <c:pt idx="4">
                  <c:v>58.438287153652389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34-45CB-996C-A79B381A43B4}"/>
            </c:ext>
          </c:extLst>
        </c:ser>
        <c:ser>
          <c:idx val="8"/>
          <c:order val="1"/>
          <c:tx>
            <c:strRef>
              <c:f>'Graf 29 + 30'!$L$27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+ 30'!$N$21:$R$21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EU</c:v>
                </c:pt>
              </c:strCache>
            </c:strRef>
          </c:cat>
          <c:val>
            <c:numRef>
              <c:f>'Graf 29 + 30'!$N$27:$R$27</c:f>
              <c:numCache>
                <c:formatCode>0.0</c:formatCode>
                <c:ptCount val="5"/>
                <c:pt idx="0">
                  <c:v>30.959752321981426</c:v>
                </c:pt>
                <c:pt idx="1">
                  <c:v>33.819241982507286</c:v>
                </c:pt>
                <c:pt idx="2">
                  <c:v>41.432225063938624</c:v>
                </c:pt>
                <c:pt idx="3">
                  <c:v>33.236151603498548</c:v>
                </c:pt>
                <c:pt idx="4">
                  <c:v>26.952141057934504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34-45CB-996C-A79B381A43B4}"/>
            </c:ext>
          </c:extLst>
        </c:ser>
        <c:ser>
          <c:idx val="0"/>
          <c:order val="2"/>
          <c:tx>
            <c:strRef>
              <c:f>'Graf 29 + 30'!$L$28</c:f>
              <c:strCache>
                <c:ptCount val="1"/>
                <c:pt idx="0">
                  <c:v>Kapitál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+ 30'!$N$21:$R$21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EU</c:v>
                </c:pt>
              </c:strCache>
            </c:strRef>
          </c:cat>
          <c:val>
            <c:numRef>
              <c:f>'Graf 29 + 30'!$N$28:$R$28</c:f>
              <c:numCache>
                <c:formatCode>0.0</c:formatCode>
                <c:ptCount val="5"/>
                <c:pt idx="0">
                  <c:v>14.55108359133127</c:v>
                </c:pt>
                <c:pt idx="1">
                  <c:v>12.244897959183675</c:v>
                </c:pt>
                <c:pt idx="2">
                  <c:v>9.7186700767263456</c:v>
                </c:pt>
                <c:pt idx="3">
                  <c:v>11.661807580174928</c:v>
                </c:pt>
                <c:pt idx="4">
                  <c:v>14.609571788413097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34-45CB-996C-A79B381A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1121024"/>
        <c:axId val="931121416"/>
      </c:barChart>
      <c:catAx>
        <c:axId val="9311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31121416"/>
        <c:crosses val="autoZero"/>
        <c:auto val="1"/>
        <c:lblAlgn val="ctr"/>
        <c:lblOffset val="100"/>
        <c:noMultiLvlLbl val="0"/>
      </c:catAx>
      <c:valAx>
        <c:axId val="93112141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93112102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7.9127515310586177E-2"/>
          <c:y val="0.89778762029746284"/>
          <c:w val="0.82428696412948377"/>
          <c:h val="9.95122484689413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9118689347305E-2"/>
          <c:y val="3.6334887750681652E-2"/>
          <c:w val="0.88847577226260255"/>
          <c:h val="0.626037325444816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29 + 30'!$C$22</c:f>
              <c:strCache>
                <c:ptCount val="1"/>
                <c:pt idx="0">
                  <c:v>Social insurance contributions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+ 30'!$D$22:$J$22</c15:sqref>
                  </c15:fullRef>
                </c:ext>
              </c:extLst>
              <c:f>'Graf 29 + 30'!$F$22:$J$22</c:f>
              <c:numCache>
                <c:formatCode>0.00</c:formatCode>
                <c:ptCount val="5"/>
                <c:pt idx="0">
                  <c:v>8.361440095478569</c:v>
                </c:pt>
                <c:pt idx="1">
                  <c:v>8.6786438804149455</c:v>
                </c:pt>
                <c:pt idx="2">
                  <c:v>8.4276725008974047</c:v>
                </c:pt>
                <c:pt idx="3">
                  <c:v>8.4186877280524026</c:v>
                </c:pt>
                <c:pt idx="4">
                  <c:v>8.3955172908763185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7D-44CB-BBAE-A1EA7AF4C318}"/>
            </c:ext>
          </c:extLst>
        </c:ser>
        <c:ser>
          <c:idx val="1"/>
          <c:order val="1"/>
          <c:tx>
            <c:strRef>
              <c:f>'Graf 29 + 30'!$C$23</c:f>
              <c:strCache>
                <c:ptCount val="1"/>
                <c:pt idx="0">
                  <c:v>VAT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+ 30'!$D$23:$J$23</c15:sqref>
                  </c15:fullRef>
                </c:ext>
              </c:extLst>
              <c:f>'Graf 29 + 30'!$F$23:$J$23</c:f>
              <c:numCache>
                <c:formatCode>0.00</c:formatCode>
                <c:ptCount val="5"/>
                <c:pt idx="0">
                  <c:v>6.9728241232965935</c:v>
                </c:pt>
                <c:pt idx="1">
                  <c:v>7.0299701086759203</c:v>
                </c:pt>
                <c:pt idx="2">
                  <c:v>6.8884179966994976</c:v>
                </c:pt>
                <c:pt idx="3">
                  <c:v>6.8100467113175256</c:v>
                </c:pt>
                <c:pt idx="4">
                  <c:v>6.7553144164034133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7D-44CB-BBAE-A1EA7AF4C318}"/>
            </c:ext>
          </c:extLst>
        </c:ser>
        <c:ser>
          <c:idx val="2"/>
          <c:order val="2"/>
          <c:tx>
            <c:strRef>
              <c:f>'Graf 29 + 30'!$C$24</c:f>
              <c:strCache>
                <c:ptCount val="1"/>
                <c:pt idx="0">
                  <c:v>Other taxes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+ 30'!$D$24:$J$24</c15:sqref>
                  </c15:fullRef>
                </c:ext>
              </c:extLst>
              <c:f>'Graf 29 + 30'!$F$24:$J$24</c:f>
              <c:numCache>
                <c:formatCode>0.00</c:formatCode>
                <c:ptCount val="5"/>
                <c:pt idx="0">
                  <c:v>4.4681028307616462</c:v>
                </c:pt>
                <c:pt idx="1">
                  <c:v>4.4400680630276321</c:v>
                </c:pt>
                <c:pt idx="2">
                  <c:v>4.3302226849733785</c:v>
                </c:pt>
                <c:pt idx="3">
                  <c:v>4.0087033124276967</c:v>
                </c:pt>
                <c:pt idx="4">
                  <c:v>3.5025456565622171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7D-44CB-BBAE-A1EA7AF4C318}"/>
            </c:ext>
          </c:extLst>
        </c:ser>
        <c:ser>
          <c:idx val="3"/>
          <c:order val="3"/>
          <c:tx>
            <c:strRef>
              <c:f>'Graf 29 + 30'!$C$25</c:f>
              <c:strCache>
                <c:ptCount val="1"/>
                <c:pt idx="0">
                  <c:v>Health insurance contributions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+ 30'!$D$25:$J$25</c15:sqref>
                  </c15:fullRef>
                </c:ext>
              </c:extLst>
              <c:f>'Graf 29 + 30'!$F$25:$J$25</c:f>
              <c:numCache>
                <c:formatCode>0.00</c:formatCode>
                <c:ptCount val="5"/>
                <c:pt idx="0">
                  <c:v>3.9234461640430505</c:v>
                </c:pt>
                <c:pt idx="1">
                  <c:v>4.0602023293709113</c:v>
                </c:pt>
                <c:pt idx="2">
                  <c:v>4.1574701479402272</c:v>
                </c:pt>
                <c:pt idx="3">
                  <c:v>4.1763161294148716</c:v>
                </c:pt>
                <c:pt idx="4">
                  <c:v>4.1798425401206538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7D-44CB-BBAE-A1EA7AF4C318}"/>
            </c:ext>
          </c:extLst>
        </c:ser>
        <c:ser>
          <c:idx val="4"/>
          <c:order val="4"/>
          <c:tx>
            <c:strRef>
              <c:f>'Graf 29 + 30'!$C$26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+ 30'!$D$26:$J$26</c15:sqref>
                  </c15:fullRef>
                </c:ext>
              </c:extLst>
              <c:f>'Graf 29 + 30'!$F$26:$J$26</c:f>
              <c:numCache>
                <c:formatCode>0.00</c:formatCode>
                <c:ptCount val="5"/>
                <c:pt idx="0">
                  <c:v>3.2710941787117012</c:v>
                </c:pt>
                <c:pt idx="1">
                  <c:v>3.0348459582416005</c:v>
                </c:pt>
                <c:pt idx="2">
                  <c:v>2.9979650348955249</c:v>
                </c:pt>
                <c:pt idx="3">
                  <c:v>2.9379813704038149</c:v>
                </c:pt>
                <c:pt idx="4">
                  <c:v>2.9357728981103453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7D-44CB-BBAE-A1EA7AF4C318}"/>
            </c:ext>
          </c:extLst>
        </c:ser>
        <c:ser>
          <c:idx val="5"/>
          <c:order val="5"/>
          <c:tx>
            <c:strRef>
              <c:f>'Graf 29 + 30'!$C$27</c:f>
              <c:strCache>
                <c:ptCount val="1"/>
                <c:pt idx="0">
                  <c:v>PIT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+ 30'!$D$27:$J$27</c15:sqref>
                  </c15:fullRef>
                </c:ext>
              </c:extLst>
              <c:f>'Graf 29 + 30'!$F$27:$J$27</c:f>
              <c:numCache>
                <c:formatCode>0.00</c:formatCode>
                <c:ptCount val="5"/>
                <c:pt idx="0">
                  <c:v>3.365798870133029</c:v>
                </c:pt>
                <c:pt idx="1">
                  <c:v>3.5314569338719624</c:v>
                </c:pt>
                <c:pt idx="2">
                  <c:v>3.5424855469491714</c:v>
                </c:pt>
                <c:pt idx="3">
                  <c:v>3.5953339438282028</c:v>
                </c:pt>
                <c:pt idx="4">
                  <c:v>3.6279185221667523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7D-44CB-BBAE-A1EA7AF4C318}"/>
            </c:ext>
          </c:extLst>
        </c:ser>
        <c:ser>
          <c:idx val="6"/>
          <c:order val="6"/>
          <c:tx>
            <c:strRef>
              <c:f>'Graf 29 + 30'!$C$28</c:f>
              <c:strCache>
                <c:ptCount val="1"/>
                <c:pt idx="0">
                  <c:v>Excise duties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+ 30'!$D$21:$J$21</c15:sqref>
                  </c15:fullRef>
                </c:ext>
              </c:extLst>
              <c:f>'Graf 29 + 30'!$F$21:$J$21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+ 30'!$D$28:$J$28</c15:sqref>
                  </c15:fullRef>
                </c:ext>
              </c:extLst>
              <c:f>'Graf 29 + 30'!$F$28:$J$28</c:f>
              <c:numCache>
                <c:formatCode>0.00</c:formatCode>
                <c:ptCount val="5"/>
                <c:pt idx="0">
                  <c:v>2.6527580214200275</c:v>
                </c:pt>
                <c:pt idx="1">
                  <c:v>2.5767644000391199</c:v>
                </c:pt>
                <c:pt idx="2">
                  <c:v>2.5082641678274262</c:v>
                </c:pt>
                <c:pt idx="3">
                  <c:v>2.4230760079693741</c:v>
                </c:pt>
                <c:pt idx="4">
                  <c:v>2.338648214173916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7D-44CB-BBAE-A1EA7AF4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100"/>
        <c:axId val="931122200"/>
        <c:axId val="931122592"/>
      </c:barChart>
      <c:lineChart>
        <c:grouping val="standard"/>
        <c:varyColors val="0"/>
        <c:ser>
          <c:idx val="7"/>
          <c:order val="7"/>
          <c:tx>
            <c:strRef>
              <c:f>'Graf 29 + 30'!$C$30</c:f>
              <c:strCache>
                <c:ptCount val="1"/>
                <c:pt idx="0">
                  <c:v>Tax to GDP ratio (% GDP)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29 + 30'!$D$21:$I$21</c15:sqref>
                  </c15:fullRef>
                </c:ext>
              </c:extLst>
              <c:f>'Graf 29 + 30'!$F$21:$I$21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29 + 30'!$D$30:$J$30</c15:sqref>
                  </c15:fullRef>
                </c:ext>
              </c:extLst>
              <c:f>'Graf 29 + 30'!$F$30:$J$30</c:f>
              <c:numCache>
                <c:formatCode>0.0</c:formatCode>
                <c:ptCount val="5"/>
                <c:pt idx="0">
                  <c:v>33.015464283844615</c:v>
                </c:pt>
                <c:pt idx="1">
                  <c:v>33.351951673642091</c:v>
                </c:pt>
                <c:pt idx="2">
                  <c:v>32.852498080182627</c:v>
                </c:pt>
                <c:pt idx="3">
                  <c:v>32.370145203413884</c:v>
                </c:pt>
                <c:pt idx="4">
                  <c:v>31.735559538413614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837D-44CB-BBAE-A1EA7AF4C318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 29 + 30'!$D$30</c15:sqref>
                  <c15:dLbl>
                    <c:idx val="-1"/>
                    <c:layout>
                      <c:manualLayout>
                        <c:x val="-5.3689213707222287E-2"/>
                        <c:y val="-6.103534388298550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7-837D-44CB-BBAE-A1EA7AF4C318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122200"/>
        <c:axId val="931122592"/>
      </c:lineChart>
      <c:catAx>
        <c:axId val="93112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22592"/>
        <c:crosses val="autoZero"/>
        <c:auto val="1"/>
        <c:lblAlgn val="ctr"/>
        <c:lblOffset val="100"/>
        <c:noMultiLvlLbl val="0"/>
      </c:catAx>
      <c:valAx>
        <c:axId val="9311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12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93952588955711E-2"/>
          <c:y val="0.74814922406543838"/>
          <c:w val="0.94618782866043094"/>
          <c:h val="0.23243330020640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 + 4'!$J$18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+ 4'!$L$18:$Q$18</c:f>
              <c:numCache>
                <c:formatCode>0.0</c:formatCode>
                <c:ptCount val="6"/>
                <c:pt idx="0">
                  <c:v>1.3963667951521868</c:v>
                </c:pt>
                <c:pt idx="1">
                  <c:v>1.8501930503102832</c:v>
                </c:pt>
                <c:pt idx="2">
                  <c:v>1.5161055236113135</c:v>
                </c:pt>
                <c:pt idx="3">
                  <c:v>1.6548814963483358</c:v>
                </c:pt>
                <c:pt idx="4">
                  <c:v>1.4273435216696402</c:v>
                </c:pt>
                <c:pt idx="5">
                  <c:v>1.2107592223791654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CE-4050-BFC1-1CA56F00344F}"/>
            </c:ext>
          </c:extLst>
        </c:ser>
        <c:ser>
          <c:idx val="2"/>
          <c:order val="2"/>
          <c:tx>
            <c:strRef>
              <c:f>'Graf 3 + 4'!$J$19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+ 4'!$L$19:$Q$19</c:f>
              <c:numCache>
                <c:formatCode>0.0</c:formatCode>
                <c:ptCount val="6"/>
                <c:pt idx="0">
                  <c:v>0.29698449927489645</c:v>
                </c:pt>
                <c:pt idx="1">
                  <c:v>4.3708406098439963E-2</c:v>
                </c:pt>
                <c:pt idx="2">
                  <c:v>0.31891811037680978</c:v>
                </c:pt>
                <c:pt idx="3">
                  <c:v>0.2615118210667573</c:v>
                </c:pt>
                <c:pt idx="4">
                  <c:v>0.28826526161742927</c:v>
                </c:pt>
                <c:pt idx="5">
                  <c:v>0.19847919087263702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CE-4050-BFC1-1CA56F00344F}"/>
            </c:ext>
          </c:extLst>
        </c:ser>
        <c:ser>
          <c:idx val="3"/>
          <c:order val="3"/>
          <c:tx>
            <c:strRef>
              <c:f>'Graf 3 + 4'!$J$20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+ 4'!$L$20:$Q$20</c:f>
              <c:numCache>
                <c:formatCode>0.0</c:formatCode>
                <c:ptCount val="6"/>
                <c:pt idx="0">
                  <c:v>-2.0173757423893468</c:v>
                </c:pt>
                <c:pt idx="1">
                  <c:v>0.69121935496180387</c:v>
                </c:pt>
                <c:pt idx="2">
                  <c:v>2.0707320065827712</c:v>
                </c:pt>
                <c:pt idx="3">
                  <c:v>0.70397639075956842</c:v>
                </c:pt>
                <c:pt idx="4">
                  <c:v>0.67959105934527186</c:v>
                </c:pt>
                <c:pt idx="5">
                  <c:v>0.66810708551263565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CE-4050-BFC1-1CA56F00344F}"/>
            </c:ext>
          </c:extLst>
        </c:ser>
        <c:ser>
          <c:idx val="4"/>
          <c:order val="4"/>
          <c:tx>
            <c:strRef>
              <c:f>'Graf 3 + 4'!$J$21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+ 4'!$L$21:$Q$21</c:f>
              <c:numCache>
                <c:formatCode>0.0</c:formatCode>
                <c:ptCount val="6"/>
                <c:pt idx="0">
                  <c:v>2.6191034962794695</c:v>
                </c:pt>
                <c:pt idx="1">
                  <c:v>0.64716301244011798</c:v>
                </c:pt>
                <c:pt idx="2">
                  <c:v>0.64495182217658253</c:v>
                </c:pt>
                <c:pt idx="3">
                  <c:v>1.7333830794355625</c:v>
                </c:pt>
                <c:pt idx="4">
                  <c:v>1.5186874846274931</c:v>
                </c:pt>
                <c:pt idx="5">
                  <c:v>1.2424721366319247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9CE-4050-BFC1-1CA56F00344F}"/>
            </c:ext>
          </c:extLst>
        </c:ser>
        <c:ser>
          <c:idx val="5"/>
          <c:order val="5"/>
          <c:tx>
            <c:strRef>
              <c:f>'Graf 3 + 4'!$J$22</c:f>
              <c:strCache>
                <c:ptCount val="1"/>
                <c:pt idx="0">
                  <c:v>zásoby a štat. disk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+ 4'!$L$22:$Q$22</c:f>
              <c:numCache>
                <c:formatCode>0.0</c:formatCode>
                <c:ptCount val="6"/>
                <c:pt idx="0">
                  <c:v>1.0296162476468202</c:v>
                </c:pt>
                <c:pt idx="1">
                  <c:v>0.16788248726920774</c:v>
                </c:pt>
                <c:pt idx="2">
                  <c:v>-0.47597089272443682</c:v>
                </c:pt>
                <c:pt idx="3">
                  <c:v>0.14575987447507099</c:v>
                </c:pt>
                <c:pt idx="4">
                  <c:v>1.0010400992777058E-3</c:v>
                </c:pt>
                <c:pt idx="5">
                  <c:v>5.460459511957616E-3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CE-4050-BFC1-1CA56F00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56288"/>
        <c:axId val="877289176"/>
      </c:barChart>
      <c:lineChart>
        <c:grouping val="standard"/>
        <c:varyColors val="0"/>
        <c:ser>
          <c:idx val="0"/>
          <c:order val="0"/>
          <c:tx>
            <c:strRef>
              <c:f>'Graf 3 + 4'!$J$17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+ 4'!$L$17:$Q$17</c:f>
              <c:numCache>
                <c:formatCode>0.0</c:formatCode>
                <c:ptCount val="6"/>
                <c:pt idx="0">
                  <c:v>3.3246952959640259</c:v>
                </c:pt>
                <c:pt idx="1">
                  <c:v>3.400166311079853</c:v>
                </c:pt>
                <c:pt idx="2">
                  <c:v>4.07473657002304</c:v>
                </c:pt>
                <c:pt idx="3">
                  <c:v>4.4995126620852952</c:v>
                </c:pt>
                <c:pt idx="4">
                  <c:v>3.9148883673591124</c:v>
                </c:pt>
                <c:pt idx="5">
                  <c:v>3.3252780949083203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9CE-4050-BFC1-1CA56F00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6288"/>
        <c:axId val="877289176"/>
      </c:lineChart>
      <c:catAx>
        <c:axId val="137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sk-SK"/>
          </a:p>
        </c:txPr>
        <c:crossAx val="877289176"/>
        <c:crosses val="autoZero"/>
        <c:auto val="1"/>
        <c:lblAlgn val="ctr"/>
        <c:lblOffset val="100"/>
        <c:noMultiLvlLbl val="0"/>
      </c:catAx>
      <c:valAx>
        <c:axId val="877289176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1375628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7556587760914743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29 + 30'!$M$26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+ 30'!$N$21:$R$21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EU</c:v>
                </c:pt>
              </c:strCache>
            </c:strRef>
          </c:cat>
          <c:val>
            <c:numRef>
              <c:f>'Graf 29 + 30'!$N$26:$R$26</c:f>
              <c:numCache>
                <c:formatCode>0.0</c:formatCode>
                <c:ptCount val="5"/>
                <c:pt idx="0">
                  <c:v>54.489164086687303</c:v>
                </c:pt>
                <c:pt idx="1">
                  <c:v>53.935860058309039</c:v>
                </c:pt>
                <c:pt idx="2">
                  <c:v>48.84910485933505</c:v>
                </c:pt>
                <c:pt idx="3">
                  <c:v>55.102040816326536</c:v>
                </c:pt>
                <c:pt idx="4">
                  <c:v>58.438287153652389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34-45CB-996C-A79B381A43B4}"/>
            </c:ext>
          </c:extLst>
        </c:ser>
        <c:ser>
          <c:idx val="8"/>
          <c:order val="1"/>
          <c:tx>
            <c:strRef>
              <c:f>'Graf 29 + 30'!$M$27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+ 30'!$N$21:$R$21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EU</c:v>
                </c:pt>
              </c:strCache>
            </c:strRef>
          </c:cat>
          <c:val>
            <c:numRef>
              <c:f>'Graf 29 + 30'!$N$27:$R$27</c:f>
              <c:numCache>
                <c:formatCode>0.0</c:formatCode>
                <c:ptCount val="5"/>
                <c:pt idx="0">
                  <c:v>30.959752321981426</c:v>
                </c:pt>
                <c:pt idx="1">
                  <c:v>33.819241982507286</c:v>
                </c:pt>
                <c:pt idx="2">
                  <c:v>41.432225063938624</c:v>
                </c:pt>
                <c:pt idx="3">
                  <c:v>33.236151603498548</c:v>
                </c:pt>
                <c:pt idx="4">
                  <c:v>26.952141057934504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34-45CB-996C-A79B381A43B4}"/>
            </c:ext>
          </c:extLst>
        </c:ser>
        <c:ser>
          <c:idx val="0"/>
          <c:order val="2"/>
          <c:tx>
            <c:strRef>
              <c:f>'Graf 29 + 30'!$M$28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+ 30'!$N$21:$R$21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  <c:pt idx="4">
                  <c:v>EU</c:v>
                </c:pt>
              </c:strCache>
            </c:strRef>
          </c:cat>
          <c:val>
            <c:numRef>
              <c:f>'Graf 29 + 30'!$N$28:$R$28</c:f>
              <c:numCache>
                <c:formatCode>0.0</c:formatCode>
                <c:ptCount val="5"/>
                <c:pt idx="0">
                  <c:v>14.55108359133127</c:v>
                </c:pt>
                <c:pt idx="1">
                  <c:v>12.244897959183675</c:v>
                </c:pt>
                <c:pt idx="2">
                  <c:v>9.7186700767263456</c:v>
                </c:pt>
                <c:pt idx="3">
                  <c:v>11.661807580174928</c:v>
                </c:pt>
                <c:pt idx="4">
                  <c:v>14.609571788413097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34-45CB-996C-A79B381A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1123376"/>
        <c:axId val="931672808"/>
      </c:barChart>
      <c:catAx>
        <c:axId val="93112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k-SK"/>
          </a:p>
        </c:txPr>
        <c:crossAx val="931672808"/>
        <c:crosses val="autoZero"/>
        <c:auto val="1"/>
        <c:lblAlgn val="ctr"/>
        <c:lblOffset val="100"/>
        <c:noMultiLvlLbl val="0"/>
      </c:catAx>
      <c:valAx>
        <c:axId val="93167280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k-SK"/>
          </a:p>
        </c:txPr>
        <c:crossAx val="93112337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7.9127515310586177E-2"/>
          <c:y val="0.89778762029746284"/>
          <c:w val="0.82428696412948377"/>
          <c:h val="9.9512248468941397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31+32 '!$B$22</c:f>
              <c:strCache>
                <c:ptCount val="1"/>
                <c:pt idx="0">
                  <c:v>Daňová medzera podľa MFSR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6E-4A8B-AEC5-F496CE5A6713}"/>
              </c:ext>
            </c:extLst>
          </c:dPt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6E-4A8B-AEC5-F496CE5A67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31+32 '!$D$21:$U$21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'Graf 31+32 '!$D$22:$U$22</c:f>
              <c:numCache>
                <c:formatCode>0</c:formatCode>
                <c:ptCount val="18"/>
                <c:pt idx="0">
                  <c:v>20.775559748625561</c:v>
                </c:pt>
                <c:pt idx="1">
                  <c:v>18.187786430225263</c:v>
                </c:pt>
                <c:pt idx="2">
                  <c:v>20.493409739518064</c:v>
                </c:pt>
                <c:pt idx="3">
                  <c:v>15.755854037187575</c:v>
                </c:pt>
                <c:pt idx="4">
                  <c:v>23.505997745706981</c:v>
                </c:pt>
                <c:pt idx="5">
                  <c:v>21.512613425555564</c:v>
                </c:pt>
                <c:pt idx="6">
                  <c:v>26.620713930615381</c:v>
                </c:pt>
                <c:pt idx="7">
                  <c:v>31.445393334253612</c:v>
                </c:pt>
                <c:pt idx="8">
                  <c:v>31.291388711534946</c:v>
                </c:pt>
                <c:pt idx="9">
                  <c:v>34.885719420069556</c:v>
                </c:pt>
                <c:pt idx="10">
                  <c:v>35.570030029159078</c:v>
                </c:pt>
                <c:pt idx="11">
                  <c:v>38.170190959965581</c:v>
                </c:pt>
                <c:pt idx="12">
                  <c:v>41.026340504407891</c:v>
                </c:pt>
                <c:pt idx="13">
                  <c:v>37.188997199389782</c:v>
                </c:pt>
                <c:pt idx="14">
                  <c:v>32.297287388144731</c:v>
                </c:pt>
                <c:pt idx="15">
                  <c:v>31.645083867662567</c:v>
                </c:pt>
                <c:pt idx="16" formatCode="0.0">
                  <c:v>28.33411862300737</c:v>
                </c:pt>
                <c:pt idx="17" formatCode="0.0">
                  <c:v>26.304068831915533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6E-4A8B-AEC5-F496CE5A6713}"/>
            </c:ext>
          </c:extLst>
        </c:ser>
        <c:ser>
          <c:idx val="1"/>
          <c:order val="1"/>
          <c:tx>
            <c:strRef>
              <c:f>'Graf 31+32 '!$B$23</c:f>
              <c:strCache>
                <c:ptCount val="1"/>
                <c:pt idx="0">
                  <c:v>Daňová medzera podľa EK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5.1490514905149248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E6E-4A8B-AEC5-F496CE5A67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31+32 '!$D$21:$U$21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'Graf 31+32 '!$D$23:$U$23</c:f>
              <c:numCache>
                <c:formatCode>0</c:formatCode>
                <c:ptCount val="18"/>
                <c:pt idx="12">
                  <c:v>36.688121708601521</c:v>
                </c:pt>
                <c:pt idx="13">
                  <c:v>31.370543541788425</c:v>
                </c:pt>
                <c:pt idx="14">
                  <c:v>30.601243953006218</c:v>
                </c:pt>
                <c:pt idx="15">
                  <c:v>29.26670146137787</c:v>
                </c:pt>
                <c:pt idx="16" formatCode="0.0">
                  <c:v>25.671969281404277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6E-4A8B-AEC5-F496CE5A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673592"/>
        <c:axId val="931673984"/>
      </c:lineChart>
      <c:catAx>
        <c:axId val="93167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3984"/>
        <c:crosses val="autoZero"/>
        <c:auto val="1"/>
        <c:lblAlgn val="ctr"/>
        <c:lblOffset val="100"/>
        <c:noMultiLvlLbl val="0"/>
      </c:catAx>
      <c:valAx>
        <c:axId val="931673984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81384412739529E-2"/>
          <c:y val="5.0925925925925923E-2"/>
          <c:w val="0.89537423764058477"/>
          <c:h val="0.84123231099609053"/>
        </c:manualLayout>
      </c:layout>
      <c:barChart>
        <c:barDir val="col"/>
        <c:grouping val="clustered"/>
        <c:varyColors val="0"/>
        <c:ser>
          <c:idx val="2"/>
          <c:order val="0"/>
          <c:tx>
            <c:v>Medziročná zmena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64-44A4-A32D-DCAF63C4EDBE}"/>
              </c:ext>
            </c:extLst>
          </c:dPt>
          <c:dLbls>
            <c:dLbl>
              <c:idx val="23"/>
              <c:layout>
                <c:manualLayout>
                  <c:x val="-1.582591493570722E-2"/>
                  <c:y val="8.546909812377058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64-44A4-A32D-DCAF63C4EDB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31+32 '!$X$28:$X$55</c:f>
              <c:strCache>
                <c:ptCount val="28"/>
                <c:pt idx="0">
                  <c:v>RO</c:v>
                </c:pt>
                <c:pt idx="1">
                  <c:v>FI</c:v>
                </c:pt>
                <c:pt idx="2">
                  <c:v>UK</c:v>
                </c:pt>
                <c:pt idx="3">
                  <c:v>IE</c:v>
                </c:pt>
                <c:pt idx="4">
                  <c:v>EE</c:v>
                </c:pt>
                <c:pt idx="5">
                  <c:v>FR</c:v>
                </c:pt>
                <c:pt idx="6">
                  <c:v>EL</c:v>
                </c:pt>
                <c:pt idx="7">
                  <c:v>SI</c:v>
                </c:pt>
                <c:pt idx="8">
                  <c:v>IT</c:v>
                </c:pt>
                <c:pt idx="9">
                  <c:v>AT</c:v>
                </c:pt>
                <c:pt idx="10">
                  <c:v>MT</c:v>
                </c:pt>
                <c:pt idx="11">
                  <c:v>LT</c:v>
                </c:pt>
                <c:pt idx="12">
                  <c:v>DE</c:v>
                </c:pt>
                <c:pt idx="13">
                  <c:v>BE</c:v>
                </c:pt>
                <c:pt idx="14">
                  <c:v>ES</c:v>
                </c:pt>
                <c:pt idx="15">
                  <c:v>LU</c:v>
                </c:pt>
                <c:pt idx="16">
                  <c:v>HU</c:v>
                </c:pt>
                <c:pt idx="17">
                  <c:v>DK</c:v>
                </c:pt>
                <c:pt idx="18">
                  <c:v>SE</c:v>
                </c:pt>
                <c:pt idx="19">
                  <c:v>PT</c:v>
                </c:pt>
                <c:pt idx="20">
                  <c:v>CZ</c:v>
                </c:pt>
                <c:pt idx="21">
                  <c:v>HR</c:v>
                </c:pt>
                <c:pt idx="22">
                  <c:v>PL</c:v>
                </c:pt>
                <c:pt idx="23">
                  <c:v>SK</c:v>
                </c:pt>
                <c:pt idx="24">
                  <c:v>NL</c:v>
                </c:pt>
                <c:pt idx="25">
                  <c:v>CY</c:v>
                </c:pt>
                <c:pt idx="26">
                  <c:v>LV</c:v>
                </c:pt>
                <c:pt idx="27">
                  <c:v>BG</c:v>
                </c:pt>
              </c:strCache>
            </c:strRef>
          </c:cat>
          <c:val>
            <c:numRef>
              <c:f>'Graf 31+32 '!$Y$28:$Y$55</c:f>
              <c:numCache>
                <c:formatCode>General</c:formatCode>
                <c:ptCount val="28"/>
                <c:pt idx="0">
                  <c:v>1.4000000000000057</c:v>
                </c:pt>
                <c:pt idx="1">
                  <c:v>1.0900000000000007</c:v>
                </c:pt>
                <c:pt idx="2">
                  <c:v>0.63000000000000078</c:v>
                </c:pt>
                <c:pt idx="3">
                  <c:v>0.54000000000000092</c:v>
                </c:pt>
                <c:pt idx="4">
                  <c:v>0.45000000000000018</c:v>
                </c:pt>
                <c:pt idx="5">
                  <c:v>0.33999999999999986</c:v>
                </c:pt>
                <c:pt idx="6">
                  <c:v>-0.15000000000000213</c:v>
                </c:pt>
                <c:pt idx="7">
                  <c:v>-0.20000000000000107</c:v>
                </c:pt>
                <c:pt idx="8">
                  <c:v>-0.23000000000000043</c:v>
                </c:pt>
                <c:pt idx="9">
                  <c:v>-0.70000000000000018</c:v>
                </c:pt>
                <c:pt idx="10">
                  <c:v>-0.71</c:v>
                </c:pt>
                <c:pt idx="11">
                  <c:v>-1.0500000000000007</c:v>
                </c:pt>
                <c:pt idx="12">
                  <c:v>-1.0599999999999987</c:v>
                </c:pt>
                <c:pt idx="13">
                  <c:v>-1.0899999999999999</c:v>
                </c:pt>
                <c:pt idx="14">
                  <c:v>-1.3399999999999999</c:v>
                </c:pt>
                <c:pt idx="15">
                  <c:v>-1.4299999999999997</c:v>
                </c:pt>
                <c:pt idx="16">
                  <c:v>-2.0700000000000003</c:v>
                </c:pt>
                <c:pt idx="17">
                  <c:v>-2.1899999999999995</c:v>
                </c:pt>
                <c:pt idx="18">
                  <c:v>-2.4299999999999997</c:v>
                </c:pt>
                <c:pt idx="19">
                  <c:v>-2.7200000000000006</c:v>
                </c:pt>
                <c:pt idx="20">
                  <c:v>-2.7300000000000022</c:v>
                </c:pt>
                <c:pt idx="21">
                  <c:v>-3.07</c:v>
                </c:pt>
                <c:pt idx="22">
                  <c:v>-3.5</c:v>
                </c:pt>
                <c:pt idx="23">
                  <c:v>-3.59</c:v>
                </c:pt>
                <c:pt idx="24">
                  <c:v>-5.49</c:v>
                </c:pt>
                <c:pt idx="25">
                  <c:v>-5.5499999999999989</c:v>
                </c:pt>
                <c:pt idx="26">
                  <c:v>-5.9000000000000021</c:v>
                </c:pt>
                <c:pt idx="27">
                  <c:v>-7.1100000000000012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B64-44A4-A32D-DCAF63C4E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931674768"/>
        <c:axId val="931675160"/>
      </c:barChart>
      <c:catAx>
        <c:axId val="93167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5160"/>
        <c:crosses val="autoZero"/>
        <c:auto val="1"/>
        <c:lblAlgn val="ctr"/>
        <c:lblOffset val="100"/>
        <c:tickLblSkip val="1"/>
        <c:noMultiLvlLbl val="0"/>
      </c:catAx>
      <c:valAx>
        <c:axId val="931675160"/>
        <c:scaling>
          <c:orientation val="minMax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5593544341986E-2"/>
          <c:y val="4.1240486554778064E-2"/>
          <c:w val="0.89374086574541034"/>
          <c:h val="0.65474645087267347"/>
        </c:manualLayout>
      </c:layout>
      <c:lineChart>
        <c:grouping val="standard"/>
        <c:varyColors val="0"/>
        <c:ser>
          <c:idx val="0"/>
          <c:order val="0"/>
          <c:tx>
            <c:strRef>
              <c:f>'Graf 31+32 '!$C$22</c:f>
              <c:strCache>
                <c:ptCount val="1"/>
                <c:pt idx="0">
                  <c:v>VAT gap (according to MF SR)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6E-4A8B-AEC5-F496CE5A6713}"/>
              </c:ext>
            </c:extLst>
          </c:dPt>
          <c:dLbls>
            <c:dLbl>
              <c:idx val="17"/>
              <c:layout>
                <c:manualLayout>
                  <c:x val="-8.5836929209766304E-3"/>
                  <c:y val="-6.0150352199257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6E-4A8B-AEC5-F496CE5A67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31+32 '!$D$21:$U$21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'Graf 31+32 '!$D$22:$U$22</c:f>
              <c:numCache>
                <c:formatCode>0</c:formatCode>
                <c:ptCount val="18"/>
                <c:pt idx="0">
                  <c:v>20.775559748625561</c:v>
                </c:pt>
                <c:pt idx="1">
                  <c:v>18.187786430225263</c:v>
                </c:pt>
                <c:pt idx="2">
                  <c:v>20.493409739518064</c:v>
                </c:pt>
                <c:pt idx="3">
                  <c:v>15.755854037187575</c:v>
                </c:pt>
                <c:pt idx="4">
                  <c:v>23.505997745706981</c:v>
                </c:pt>
                <c:pt idx="5">
                  <c:v>21.512613425555564</c:v>
                </c:pt>
                <c:pt idx="6">
                  <c:v>26.620713930615381</c:v>
                </c:pt>
                <c:pt idx="7">
                  <c:v>31.445393334253612</c:v>
                </c:pt>
                <c:pt idx="8">
                  <c:v>31.291388711534946</c:v>
                </c:pt>
                <c:pt idx="9">
                  <c:v>34.885719420069556</c:v>
                </c:pt>
                <c:pt idx="10">
                  <c:v>35.570030029159078</c:v>
                </c:pt>
                <c:pt idx="11">
                  <c:v>38.170190959965581</c:v>
                </c:pt>
                <c:pt idx="12">
                  <c:v>41.026340504407891</c:v>
                </c:pt>
                <c:pt idx="13">
                  <c:v>37.188997199389782</c:v>
                </c:pt>
                <c:pt idx="14">
                  <c:v>32.297287388144731</c:v>
                </c:pt>
                <c:pt idx="15">
                  <c:v>31.645083867662567</c:v>
                </c:pt>
                <c:pt idx="16" formatCode="0.0">
                  <c:v>28.33411862300737</c:v>
                </c:pt>
                <c:pt idx="17" formatCode="0.0">
                  <c:v>26.304068831915533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6E-4A8B-AEC5-F496CE5A6713}"/>
            </c:ext>
          </c:extLst>
        </c:ser>
        <c:ser>
          <c:idx val="1"/>
          <c:order val="1"/>
          <c:tx>
            <c:strRef>
              <c:f>'Graf 31+32 '!$C$23</c:f>
              <c:strCache>
                <c:ptCount val="1"/>
                <c:pt idx="0">
                  <c:v>VAT gap (acoording to EC)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6.0074135170408834E-2"/>
                  <c:y val="6.4278387196973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E6E-4A8B-AEC5-F496CE5A67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31+32 '!$D$21:$U$21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'Graf 31+32 '!$D$23:$U$23</c:f>
              <c:numCache>
                <c:formatCode>0</c:formatCode>
                <c:ptCount val="18"/>
                <c:pt idx="12">
                  <c:v>36.688121708601521</c:v>
                </c:pt>
                <c:pt idx="13">
                  <c:v>31.370543541788425</c:v>
                </c:pt>
                <c:pt idx="14">
                  <c:v>30.601243953006218</c:v>
                </c:pt>
                <c:pt idx="15">
                  <c:v>29.26670146137787</c:v>
                </c:pt>
                <c:pt idx="16" formatCode="0.0">
                  <c:v>25.671969281404277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6E-4A8B-AEC5-F496CE5A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675944"/>
        <c:axId val="931676336"/>
      </c:lineChart>
      <c:catAx>
        <c:axId val="93167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6336"/>
        <c:crosses val="autoZero"/>
        <c:auto val="1"/>
        <c:lblAlgn val="ctr"/>
        <c:lblOffset val="100"/>
        <c:noMultiLvlLbl val="0"/>
      </c:catAx>
      <c:valAx>
        <c:axId val="931676336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26066803473608E-2"/>
          <c:y val="6.3654158799128072E-2"/>
          <c:w val="0.90429106279585114"/>
          <c:h val="0.76047673638703184"/>
        </c:manualLayout>
      </c:layout>
      <c:lineChart>
        <c:grouping val="standard"/>
        <c:varyColors val="0"/>
        <c:ser>
          <c:idx val="0"/>
          <c:order val="0"/>
          <c:tx>
            <c:strRef>
              <c:f>'Graf 33+34'!$B$21</c:f>
              <c:strCache>
                <c:ptCount val="1"/>
                <c:pt idx="0">
                  <c:v>EDS (čistý PP, ľavá os)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33+34'!$D$19:$P$19</c15:sqref>
                  </c15:fullRef>
                </c:ext>
              </c:extLst>
              <c:f>'Graf 33+34'!$G$19:$P$19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33+34'!$D$21:$P$21</c15:sqref>
                  </c15:fullRef>
                </c:ext>
              </c:extLst>
              <c:f>'Graf 33+34'!$G$21:$P$21</c:f>
              <c:numCache>
                <c:formatCode>0.0</c:formatCode>
                <c:ptCount val="10"/>
                <c:pt idx="0">
                  <c:v>7.940330943330233E-2</c:v>
                </c:pt>
                <c:pt idx="1">
                  <c:v>8.2879443669046593E-2</c:v>
                </c:pt>
                <c:pt idx="2">
                  <c:v>7.2883714123905444E-2</c:v>
                </c:pt>
                <c:pt idx="3">
                  <c:v>6.8963986642376213E-2</c:v>
                </c:pt>
                <c:pt idx="4">
                  <c:v>6.6374975420119497E-2</c:v>
                </c:pt>
                <c:pt idx="5">
                  <c:v>6.4387421230077888E-2</c:v>
                </c:pt>
                <c:pt idx="6">
                  <c:v>7.7714168172012835E-2</c:v>
                </c:pt>
                <c:pt idx="7">
                  <c:v>8.8991552614594516E-2</c:v>
                </c:pt>
                <c:pt idx="8">
                  <c:v>0.10358921771935213</c:v>
                </c:pt>
                <c:pt idx="9">
                  <c:v>9.8303672024397756E-2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E9-48CC-800D-A0E8A1A4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77120"/>
        <c:axId val="931677512"/>
      </c:lineChart>
      <c:lineChart>
        <c:grouping val="standard"/>
        <c:varyColors val="0"/>
        <c:ser>
          <c:idx val="1"/>
          <c:order val="1"/>
          <c:tx>
            <c:strRef>
              <c:f>'Graf 33+34'!$B$20</c:f>
              <c:strCache>
                <c:ptCount val="1"/>
                <c:pt idx="0">
                  <c:v>EDS (hrubý PP, pravá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33+34'!$D$19:$P$19</c15:sqref>
                  </c15:fullRef>
                </c:ext>
              </c:extLst>
              <c:f>'Graf 33+34'!$G$19:$P$19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33+34'!$D$20:$P$20</c15:sqref>
                  </c15:fullRef>
                </c:ext>
              </c:extLst>
              <c:f>'Graf 33+34'!$G$20:$P$20</c:f>
              <c:numCache>
                <c:formatCode>0.00</c:formatCode>
                <c:ptCount val="10"/>
                <c:pt idx="0">
                  <c:v>0.15544262748161669</c:v>
                </c:pt>
                <c:pt idx="1">
                  <c:v>0.1625550313449505</c:v>
                </c:pt>
                <c:pt idx="2">
                  <c:v>0.17872918712190775</c:v>
                </c:pt>
                <c:pt idx="3">
                  <c:v>0.15489714279499525</c:v>
                </c:pt>
                <c:pt idx="4">
                  <c:v>0.15204230933700935</c:v>
                </c:pt>
                <c:pt idx="5">
                  <c:v>0.14776183997190348</c:v>
                </c:pt>
                <c:pt idx="6">
                  <c:v>0.18562693572535433</c:v>
                </c:pt>
                <c:pt idx="7">
                  <c:v>0.21646480900918486</c:v>
                </c:pt>
                <c:pt idx="8">
                  <c:v>0.24981280775866871</c:v>
                </c:pt>
                <c:pt idx="9">
                  <c:v>0.23719501808109114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E9-48CC-800D-A0E8A1A4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78296"/>
        <c:axId val="931677904"/>
      </c:lineChart>
      <c:catAx>
        <c:axId val="9316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7512"/>
        <c:crosses val="autoZero"/>
        <c:auto val="1"/>
        <c:lblAlgn val="ctr"/>
        <c:lblOffset val="100"/>
        <c:noMultiLvlLbl val="0"/>
      </c:catAx>
      <c:valAx>
        <c:axId val="9316775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7120"/>
        <c:crosses val="autoZero"/>
        <c:crossBetween val="between"/>
      </c:valAx>
      <c:valAx>
        <c:axId val="93167790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78296"/>
        <c:crosses val="max"/>
        <c:crossBetween val="between"/>
      </c:valAx>
      <c:catAx>
        <c:axId val="931678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1677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459074415438713E-2"/>
          <c:y val="0.59276511478708438"/>
          <c:w val="0.47299809986967789"/>
          <c:h val="0.17324775638455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052493438320214"/>
        </c:manualLayout>
      </c:layout>
      <c:areaChart>
        <c:grouping val="stacked"/>
        <c:varyColors val="0"/>
        <c:ser>
          <c:idx val="3"/>
          <c:order val="0"/>
          <c:tx>
            <c:strRef>
              <c:f>'Graf 33+34'!$R$20</c:f>
              <c:strCache>
                <c:ptCount val="1"/>
                <c:pt idx="0">
                  <c:v>Dolná hranica intervalu</c:v>
                </c:pt>
              </c:strCache>
            </c:strRef>
          </c:tx>
          <c:spPr>
            <a:noFill/>
            <a:ln w="12700">
              <a:noFill/>
              <a:prstDash val="dash"/>
            </a:ln>
          </c:spPr>
          <c:cat>
            <c:numRef>
              <c:f>'Graf 33+34'!$S$19:$AB$19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33+34'!$S$20:$AB$20</c:f>
              <c:numCache>
                <c:formatCode>0.00%</c:formatCode>
                <c:ptCount val="10"/>
                <c:pt idx="0">
                  <c:v>1.9513665599533137E-3</c:v>
                </c:pt>
                <c:pt idx="1">
                  <c:v>0.10947765430899946</c:v>
                </c:pt>
                <c:pt idx="2">
                  <c:v>5.2366713275848374E-2</c:v>
                </c:pt>
                <c:pt idx="3">
                  <c:v>2.3853528927328369E-2</c:v>
                </c:pt>
                <c:pt idx="4">
                  <c:v>9.5408032849693708E-2</c:v>
                </c:pt>
                <c:pt idx="5">
                  <c:v>0.11165289040451574</c:v>
                </c:pt>
                <c:pt idx="6">
                  <c:v>0.13800766857240074</c:v>
                </c:pt>
                <c:pt idx="7">
                  <c:v>0.13258102895910281</c:v>
                </c:pt>
                <c:pt idx="8">
                  <c:v>0.12641800063198455</c:v>
                </c:pt>
                <c:pt idx="9">
                  <c:v>0.1366650382498493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3B-42BB-BD7F-A2AFBEFF3CF8}"/>
            </c:ext>
          </c:extLst>
        </c:ser>
        <c:ser>
          <c:idx val="5"/>
          <c:order val="1"/>
          <c:tx>
            <c:strRef>
              <c:f>'Graf 33+34'!$R$21</c:f>
              <c:strCache>
                <c:ptCount val="1"/>
                <c:pt idx="0">
                  <c:v>Horná hranica intervalu</c:v>
                </c:pt>
              </c:strCache>
            </c:strRef>
          </c:tx>
          <c:spPr>
            <a:solidFill>
              <a:srgbClr val="2C9ADC"/>
            </a:solidFill>
            <a:ln w="12700">
              <a:solidFill>
                <a:sysClr val="windowText" lastClr="000000"/>
              </a:solidFill>
            </a:ln>
          </c:spPr>
          <c:cat>
            <c:numRef>
              <c:f>'Graf 33+34'!$S$19:$AB$19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33+34'!$S$21:$AB$21</c:f>
              <c:numCache>
                <c:formatCode>0.00%</c:formatCode>
                <c:ptCount val="10"/>
                <c:pt idx="0">
                  <c:v>6.7269503286172289E-2</c:v>
                </c:pt>
                <c:pt idx="1">
                  <c:v>5.6255867050983469E-2</c:v>
                </c:pt>
                <c:pt idx="2">
                  <c:v>5.6232300286665669E-2</c:v>
                </c:pt>
                <c:pt idx="3">
                  <c:v>5.7654621493258146E-2</c:v>
                </c:pt>
                <c:pt idx="4">
                  <c:v>5.889199280658941E-2</c:v>
                </c:pt>
                <c:pt idx="5">
                  <c:v>6.3986916348353587E-2</c:v>
                </c:pt>
                <c:pt idx="6">
                  <c:v>5.0283642484269531E-2</c:v>
                </c:pt>
                <c:pt idx="7">
                  <c:v>4.3512010743133489E-2</c:v>
                </c:pt>
                <c:pt idx="8">
                  <c:v>3.9578378610881232E-2</c:v>
                </c:pt>
                <c:pt idx="9">
                  <c:v>3.1149656674190646E-2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3B-42BB-BD7F-A2AFBEFF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79080"/>
        <c:axId val="931679472"/>
      </c:areaChart>
      <c:catAx>
        <c:axId val="931679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900"/>
            </a:pPr>
            <a:endParaRPr lang="sk-SK"/>
          </a:p>
        </c:txPr>
        <c:crossAx val="931679472"/>
        <c:crosses val="autoZero"/>
        <c:auto val="1"/>
        <c:lblAlgn val="ctr"/>
        <c:lblOffset val="100"/>
        <c:noMultiLvlLbl val="0"/>
      </c:catAx>
      <c:valAx>
        <c:axId val="9316794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k-SK"/>
          </a:p>
        </c:txPr>
        <c:crossAx val="931679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26066803473608E-2"/>
          <c:y val="6.3654158799128072E-2"/>
          <c:w val="0.90429106279585114"/>
          <c:h val="0.76047673638703184"/>
        </c:manualLayout>
      </c:layout>
      <c:lineChart>
        <c:grouping val="standard"/>
        <c:varyColors val="0"/>
        <c:ser>
          <c:idx val="0"/>
          <c:order val="0"/>
          <c:tx>
            <c:strRef>
              <c:f>'Graf 33+34'!$C$21</c:f>
              <c:strCache>
                <c:ptCount val="1"/>
                <c:pt idx="0">
                  <c:v>ETR (net OS, left ax)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33+34'!$D$19:$P$19</c15:sqref>
                  </c15:fullRef>
                </c:ext>
              </c:extLst>
              <c:f>'Graf 33+34'!$G$19:$P$19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33+34'!$D$21:$P$21</c15:sqref>
                  </c15:fullRef>
                </c:ext>
              </c:extLst>
              <c:f>'Graf 33+34'!$G$21:$P$21</c:f>
              <c:numCache>
                <c:formatCode>0.0</c:formatCode>
                <c:ptCount val="10"/>
                <c:pt idx="0">
                  <c:v>7.940330943330233E-2</c:v>
                </c:pt>
                <c:pt idx="1">
                  <c:v>8.2879443669046593E-2</c:v>
                </c:pt>
                <c:pt idx="2">
                  <c:v>7.2883714123905444E-2</c:v>
                </c:pt>
                <c:pt idx="3">
                  <c:v>6.8963986642376213E-2</c:v>
                </c:pt>
                <c:pt idx="4">
                  <c:v>6.6374975420119497E-2</c:v>
                </c:pt>
                <c:pt idx="5">
                  <c:v>6.4387421230077888E-2</c:v>
                </c:pt>
                <c:pt idx="6">
                  <c:v>7.7714168172012835E-2</c:v>
                </c:pt>
                <c:pt idx="7">
                  <c:v>8.8991552614594516E-2</c:v>
                </c:pt>
                <c:pt idx="8">
                  <c:v>0.10358921771935213</c:v>
                </c:pt>
                <c:pt idx="9">
                  <c:v>9.8303672024397756E-2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E9-48CC-800D-A0E8A1A4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0256"/>
        <c:axId val="931402472"/>
      </c:lineChart>
      <c:lineChart>
        <c:grouping val="standard"/>
        <c:varyColors val="0"/>
        <c:ser>
          <c:idx val="1"/>
          <c:order val="1"/>
          <c:tx>
            <c:strRef>
              <c:f>'Graf 33+34'!$C$20</c:f>
              <c:strCache>
                <c:ptCount val="1"/>
                <c:pt idx="0">
                  <c:v>ETR (gross OS, right ax)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33+34'!$D$19:$P$19</c15:sqref>
                  </c15:fullRef>
                </c:ext>
              </c:extLst>
              <c:f>'Graf 33+34'!$G$19:$P$19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33+34'!$D$20:$P$20</c15:sqref>
                  </c15:fullRef>
                </c:ext>
              </c:extLst>
              <c:f>'Graf 33+34'!$G$20:$P$20</c:f>
              <c:numCache>
                <c:formatCode>0.00</c:formatCode>
                <c:ptCount val="10"/>
                <c:pt idx="0">
                  <c:v>0.15544262748161669</c:v>
                </c:pt>
                <c:pt idx="1">
                  <c:v>0.1625550313449505</c:v>
                </c:pt>
                <c:pt idx="2">
                  <c:v>0.17872918712190775</c:v>
                </c:pt>
                <c:pt idx="3">
                  <c:v>0.15489714279499525</c:v>
                </c:pt>
                <c:pt idx="4">
                  <c:v>0.15204230933700935</c:v>
                </c:pt>
                <c:pt idx="5">
                  <c:v>0.14776183997190348</c:v>
                </c:pt>
                <c:pt idx="6">
                  <c:v>0.18562693572535433</c:v>
                </c:pt>
                <c:pt idx="7">
                  <c:v>0.21646480900918486</c:v>
                </c:pt>
                <c:pt idx="8">
                  <c:v>0.24981280775866871</c:v>
                </c:pt>
                <c:pt idx="9">
                  <c:v>0.23719501808109114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E9-48CC-800D-A0E8A1A4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03256"/>
        <c:axId val="931402864"/>
      </c:lineChart>
      <c:catAx>
        <c:axId val="9316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402472"/>
        <c:crosses val="autoZero"/>
        <c:auto val="1"/>
        <c:lblAlgn val="ctr"/>
        <c:lblOffset val="100"/>
        <c:noMultiLvlLbl val="0"/>
      </c:catAx>
      <c:valAx>
        <c:axId val="9314024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680256"/>
        <c:crosses val="autoZero"/>
        <c:crossBetween val="between"/>
      </c:valAx>
      <c:valAx>
        <c:axId val="93140286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403256"/>
        <c:crosses val="max"/>
        <c:crossBetween val="between"/>
      </c:valAx>
      <c:catAx>
        <c:axId val="931403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1402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459074415438713E-2"/>
          <c:y val="0.59276511478708438"/>
          <c:w val="0.65742734539134984"/>
          <c:h val="0.17324775638455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052493438320214"/>
        </c:manualLayout>
      </c:layout>
      <c:areaChart>
        <c:grouping val="stacked"/>
        <c:varyColors val="0"/>
        <c:ser>
          <c:idx val="3"/>
          <c:order val="0"/>
          <c:tx>
            <c:strRef>
              <c:f>'Graf 33+34'!$R$20</c:f>
              <c:strCache>
                <c:ptCount val="1"/>
                <c:pt idx="0">
                  <c:v>Dolná hranica intervalu</c:v>
                </c:pt>
              </c:strCache>
            </c:strRef>
          </c:tx>
          <c:spPr>
            <a:noFill/>
            <a:ln w="12700">
              <a:noFill/>
              <a:prstDash val="dash"/>
            </a:ln>
          </c:spPr>
          <c:cat>
            <c:numRef>
              <c:f>'Graf 33+34'!$S$19:$AB$19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33+34'!$S$20:$AB$20</c:f>
              <c:numCache>
                <c:formatCode>0.00%</c:formatCode>
                <c:ptCount val="10"/>
                <c:pt idx="0">
                  <c:v>1.9513665599533137E-3</c:v>
                </c:pt>
                <c:pt idx="1">
                  <c:v>0.10947765430899946</c:v>
                </c:pt>
                <c:pt idx="2">
                  <c:v>5.2366713275848374E-2</c:v>
                </c:pt>
                <c:pt idx="3">
                  <c:v>2.3853528927328369E-2</c:v>
                </c:pt>
                <c:pt idx="4">
                  <c:v>9.5408032849693708E-2</c:v>
                </c:pt>
                <c:pt idx="5">
                  <c:v>0.11165289040451574</c:v>
                </c:pt>
                <c:pt idx="6">
                  <c:v>0.13800766857240074</c:v>
                </c:pt>
                <c:pt idx="7">
                  <c:v>0.13258102895910281</c:v>
                </c:pt>
                <c:pt idx="8">
                  <c:v>0.12641800063198455</c:v>
                </c:pt>
                <c:pt idx="9">
                  <c:v>0.1366650382498493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3B-42BB-BD7F-A2AFBEFF3CF8}"/>
            </c:ext>
          </c:extLst>
        </c:ser>
        <c:ser>
          <c:idx val="5"/>
          <c:order val="1"/>
          <c:tx>
            <c:strRef>
              <c:f>'Graf 33+34'!$R$21</c:f>
              <c:strCache>
                <c:ptCount val="1"/>
                <c:pt idx="0">
                  <c:v>Horná hranica intervalu</c:v>
                </c:pt>
              </c:strCache>
            </c:strRef>
          </c:tx>
          <c:spPr>
            <a:solidFill>
              <a:srgbClr val="2C9ADC"/>
            </a:solidFill>
            <a:ln w="12700">
              <a:solidFill>
                <a:sysClr val="windowText" lastClr="000000"/>
              </a:solidFill>
            </a:ln>
          </c:spPr>
          <c:cat>
            <c:numRef>
              <c:f>'Graf 33+34'!$S$19:$AB$19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'Graf 33+34'!$S$21:$AB$21</c:f>
              <c:numCache>
                <c:formatCode>0.00%</c:formatCode>
                <c:ptCount val="10"/>
                <c:pt idx="0">
                  <c:v>6.7269503286172289E-2</c:v>
                </c:pt>
                <c:pt idx="1">
                  <c:v>5.6255867050983469E-2</c:v>
                </c:pt>
                <c:pt idx="2">
                  <c:v>5.6232300286665669E-2</c:v>
                </c:pt>
                <c:pt idx="3">
                  <c:v>5.7654621493258146E-2</c:v>
                </c:pt>
                <c:pt idx="4">
                  <c:v>5.889199280658941E-2</c:v>
                </c:pt>
                <c:pt idx="5">
                  <c:v>6.3986916348353587E-2</c:v>
                </c:pt>
                <c:pt idx="6">
                  <c:v>5.0283642484269531E-2</c:v>
                </c:pt>
                <c:pt idx="7">
                  <c:v>4.3512010743133489E-2</c:v>
                </c:pt>
                <c:pt idx="8">
                  <c:v>3.9578378610881232E-2</c:v>
                </c:pt>
                <c:pt idx="9">
                  <c:v>3.1149656674190646E-2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3B-42BB-BD7F-A2AFBEFF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404040"/>
        <c:axId val="931404432"/>
      </c:areaChart>
      <c:catAx>
        <c:axId val="931404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k-SK"/>
          </a:p>
        </c:txPr>
        <c:crossAx val="931404432"/>
        <c:crosses val="autoZero"/>
        <c:auto val="1"/>
        <c:lblAlgn val="ctr"/>
        <c:lblOffset val="100"/>
        <c:noMultiLvlLbl val="0"/>
      </c:catAx>
      <c:valAx>
        <c:axId val="93140443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9314040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35 + 36'!$J$13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+ 36'!$K$13:$Z$13</c15:sqref>
                  </c15:fullRef>
                </c:ext>
              </c:extLst>
              <c:f>'Graf 35 + 36'!$M$13:$Z$13</c:f>
              <c:numCache>
                <c:formatCode>#\ ##0.0</c:formatCode>
                <c:ptCount val="14"/>
                <c:pt idx="0">
                  <c:v>36.9</c:v>
                </c:pt>
                <c:pt idx="1">
                  <c:v>44.1</c:v>
                </c:pt>
                <c:pt idx="2">
                  <c:v>42.1</c:v>
                </c:pt>
                <c:pt idx="3">
                  <c:v>40.799999999999997</c:v>
                </c:pt>
                <c:pt idx="4">
                  <c:v>40.6</c:v>
                </c:pt>
                <c:pt idx="5">
                  <c:v>41.4</c:v>
                </c:pt>
                <c:pt idx="6">
                  <c:v>42</c:v>
                </c:pt>
                <c:pt idx="7">
                  <c:v>45.2</c:v>
                </c:pt>
                <c:pt idx="8" formatCode="General">
                  <c:v>41.5</c:v>
                </c:pt>
                <c:pt idx="9" formatCode="General">
                  <c:v>40.4</c:v>
                </c:pt>
                <c:pt idx="10" formatCode="0.0">
                  <c:v>39.71876790983297</c:v>
                </c:pt>
                <c:pt idx="11" formatCode="0.0">
                  <c:v>38.454008935234242</c:v>
                </c:pt>
                <c:pt idx="12" formatCode="0.0">
                  <c:v>38.516615717573984</c:v>
                </c:pt>
                <c:pt idx="13" formatCode="0.0">
                  <c:v>37.391051522424142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D9-44B2-B14B-39169C25BA1B}"/>
            </c:ext>
          </c:extLst>
        </c:ser>
        <c:ser>
          <c:idx val="5"/>
          <c:order val="1"/>
          <c:tx>
            <c:strRef>
              <c:f>'Graf 35 + 36'!$J$14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+ 36'!$K$14:$Z$14</c15:sqref>
                  </c15:fullRef>
                </c:ext>
              </c:extLst>
              <c:f>'Graf 35 + 36'!$M$14:$Z$14</c:f>
              <c:numCache>
                <c:formatCode>0.0</c:formatCode>
                <c:ptCount val="14"/>
                <c:pt idx="0">
                  <c:v>44.5</c:v>
                </c:pt>
                <c:pt idx="1">
                  <c:v>46.533333333333331</c:v>
                </c:pt>
                <c:pt idx="2">
                  <c:v>46.166666666666664</c:v>
                </c:pt>
                <c:pt idx="3">
                  <c:v>45.433333333333337</c:v>
                </c:pt>
                <c:pt idx="4">
                  <c:v>45.300000000000004</c:v>
                </c:pt>
                <c:pt idx="5">
                  <c:v>44.833333333333336</c:v>
                </c:pt>
                <c:pt idx="6">
                  <c:v>44.699999999999996</c:v>
                </c:pt>
                <c:pt idx="7">
                  <c:v>44.466666666666669</c:v>
                </c:pt>
                <c:pt idx="8">
                  <c:v>42.333333333333336</c:v>
                </c:pt>
                <c:pt idx="9">
                  <c:v>42.166666666666664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D9-44B2-B14B-39169C25BA1B}"/>
            </c:ext>
          </c:extLst>
        </c:ser>
        <c:ser>
          <c:idx val="0"/>
          <c:order val="2"/>
          <c:tx>
            <c:strRef>
              <c:f>'Graf 35 + 36'!$J$15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60"/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+ 36'!$K$15:$Z$15</c15:sqref>
                  </c15:fullRef>
                </c:ext>
              </c:extLst>
              <c:f>'Graf 35 + 36'!$M$15:$Z$15</c:f>
              <c:numCache>
                <c:formatCode>0.0</c:formatCode>
                <c:ptCount val="14"/>
                <c:pt idx="0">
                  <c:v>46.6</c:v>
                </c:pt>
                <c:pt idx="1">
                  <c:v>50.7</c:v>
                </c:pt>
                <c:pt idx="2">
                  <c:v>50.6</c:v>
                </c:pt>
                <c:pt idx="3">
                  <c:v>49.2</c:v>
                </c:pt>
                <c:pt idx="4">
                  <c:v>49.8</c:v>
                </c:pt>
                <c:pt idx="5">
                  <c:v>49.8</c:v>
                </c:pt>
                <c:pt idx="6">
                  <c:v>49.2</c:v>
                </c:pt>
                <c:pt idx="7">
                  <c:v>48.3</c:v>
                </c:pt>
                <c:pt idx="8">
                  <c:v>47.6</c:v>
                </c:pt>
                <c:pt idx="9">
                  <c:v>47.1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D9-44B2-B14B-39169C25BA1B}"/>
            </c:ext>
          </c:extLst>
        </c:ser>
        <c:ser>
          <c:idx val="1"/>
          <c:order val="3"/>
          <c:tx>
            <c:strRef>
              <c:f>'Graf 35 + 36'!$J$16</c:f>
              <c:strCache>
                <c:ptCount val="1"/>
                <c:pt idx="0">
                  <c:v>EA 28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+ 36'!$K$16:$Z$16</c15:sqref>
                  </c15:fullRef>
                </c:ext>
              </c:extLst>
              <c:f>'Graf 35 + 36'!$M$16:$Z$16</c:f>
              <c:numCache>
                <c:formatCode>General</c:formatCode>
                <c:ptCount val="14"/>
                <c:pt idx="0">
                  <c:v>46.2</c:v>
                </c:pt>
                <c:pt idx="1">
                  <c:v>50.1</c:v>
                </c:pt>
                <c:pt idx="2">
                  <c:v>49.9</c:v>
                </c:pt>
                <c:pt idx="3">
                  <c:v>48.6</c:v>
                </c:pt>
                <c:pt idx="4" formatCode="0.0">
                  <c:v>48.9</c:v>
                </c:pt>
                <c:pt idx="5">
                  <c:v>48.6</c:v>
                </c:pt>
                <c:pt idx="6">
                  <c:v>48</c:v>
                </c:pt>
                <c:pt idx="7">
                  <c:v>47</c:v>
                </c:pt>
                <c:pt idx="8">
                  <c:v>46.3</c:v>
                </c:pt>
                <c:pt idx="9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ED9-44B2-B14B-39169C25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405216"/>
        <c:axId val="931405608"/>
      </c:lineChart>
      <c:catAx>
        <c:axId val="93140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1405608"/>
        <c:crosses val="autoZero"/>
        <c:auto val="1"/>
        <c:lblAlgn val="ctr"/>
        <c:lblOffset val="100"/>
        <c:noMultiLvlLbl val="0"/>
      </c:catAx>
      <c:valAx>
        <c:axId val="931405608"/>
        <c:scaling>
          <c:orientation val="minMax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140521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75634653310066846"/>
          <c:y val="8.6002437957796773E-2"/>
          <c:w val="0.17762879192114389"/>
          <c:h val="0.3068663212838197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35 + 36'!$J$26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+ 36'!$K$26:$Z$26</c15:sqref>
                  </c15:fullRef>
                </c:ext>
              </c:extLst>
              <c:f>'Graf 35 + 36'!$M$26:$Z$26</c:f>
              <c:numCache>
                <c:formatCode>#\ ##0.0</c:formatCode>
                <c:ptCount val="14"/>
                <c:pt idx="0">
                  <c:v>3.4</c:v>
                </c:pt>
                <c:pt idx="1">
                  <c:v>3.9</c:v>
                </c:pt>
                <c:pt idx="2">
                  <c:v>3.6</c:v>
                </c:pt>
                <c:pt idx="3">
                  <c:v>3.8</c:v>
                </c:pt>
                <c:pt idx="4">
                  <c:v>3.4</c:v>
                </c:pt>
                <c:pt idx="5">
                  <c:v>3.3</c:v>
                </c:pt>
                <c:pt idx="6">
                  <c:v>4</c:v>
                </c:pt>
                <c:pt idx="7">
                  <c:v>6.3</c:v>
                </c:pt>
                <c:pt idx="8" formatCode="0.0">
                  <c:v>3.2</c:v>
                </c:pt>
                <c:pt idx="9" formatCode="0.0">
                  <c:v>3.2</c:v>
                </c:pt>
                <c:pt idx="10" formatCode="0.0">
                  <c:v>3.1556878351943074</c:v>
                </c:pt>
                <c:pt idx="11" formatCode="0.0">
                  <c:v>2.3858887169086893</c:v>
                </c:pt>
                <c:pt idx="12" formatCode="0.0">
                  <c:v>2.4866995510415864</c:v>
                </c:pt>
                <c:pt idx="13" formatCode="0.0">
                  <c:v>2.678461799670727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99-4A06-B740-707A05255EBE}"/>
            </c:ext>
          </c:extLst>
        </c:ser>
        <c:ser>
          <c:idx val="5"/>
          <c:order val="1"/>
          <c:tx>
            <c:strRef>
              <c:f>'Graf 35 + 36'!$J$27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+ 36'!$K$27:$Z$27</c15:sqref>
                  </c15:fullRef>
                </c:ext>
              </c:extLst>
              <c:f>'Graf 35 + 36'!$M$27:$Z$27</c:f>
              <c:numCache>
                <c:formatCode>#\ ##0.0</c:formatCode>
                <c:ptCount val="14"/>
                <c:pt idx="0">
                  <c:v>4.4333333333333336</c:v>
                </c:pt>
                <c:pt idx="1">
                  <c:v>4.8</c:v>
                </c:pt>
                <c:pt idx="2">
                  <c:v>4.8</c:v>
                </c:pt>
                <c:pt idx="3">
                  <c:v>4.5666666666666664</c:v>
                </c:pt>
                <c:pt idx="4">
                  <c:v>4.2</c:v>
                </c:pt>
                <c:pt idx="5">
                  <c:v>4.0666666666666673</c:v>
                </c:pt>
                <c:pt idx="6">
                  <c:v>4.6333333333333329</c:v>
                </c:pt>
                <c:pt idx="7">
                  <c:v>5.3666666666666671</c:v>
                </c:pt>
                <c:pt idx="8">
                  <c:v>3.2333333333333329</c:v>
                </c:pt>
                <c:pt idx="9" formatCode="General">
                  <c:v>3.8000000000000003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99-4A06-B740-707A05255EBE}"/>
            </c:ext>
          </c:extLst>
        </c:ser>
        <c:ser>
          <c:idx val="0"/>
          <c:order val="2"/>
          <c:tx>
            <c:strRef>
              <c:f>'Graf 35 + 36'!$J$28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60"/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+ 36'!$K$28:$Z$28</c15:sqref>
                  </c15:fullRef>
                </c:ext>
              </c:extLst>
              <c:f>'Graf 35 + 36'!$M$28:$Z$28</c:f>
              <c:numCache>
                <c:formatCode>#\ ##0.0</c:formatCode>
                <c:ptCount val="14"/>
                <c:pt idx="0">
                  <c:v>3.3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2.8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599-4A06-B740-707A05255EBE}"/>
            </c:ext>
          </c:extLst>
        </c:ser>
        <c:ser>
          <c:idx val="1"/>
          <c:order val="3"/>
          <c:tx>
            <c:strRef>
              <c:f>'Graf 35 + 36'!$J$21</c:f>
              <c:strCache>
                <c:ptCount val="1"/>
                <c:pt idx="0">
                  <c:v>EU28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+ 36'!$K$21:$Z$21</c15:sqref>
                  </c15:fullRef>
                </c:ext>
              </c:extLst>
              <c:f>'Graf 35 + 36'!$M$21:$Z$21</c:f>
              <c:numCache>
                <c:formatCode>#\ ##0.0</c:formatCode>
                <c:ptCount val="14"/>
                <c:pt idx="0">
                  <c:v>3.4</c:v>
                </c:pt>
                <c:pt idx="1">
                  <c:v>3.7</c:v>
                </c:pt>
                <c:pt idx="2">
                  <c:v>3.5</c:v>
                </c:pt>
                <c:pt idx="3">
                  <c:v>3.3</c:v>
                </c:pt>
                <c:pt idx="4">
                  <c:v>3.1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 formatCode="General">
                  <c:v>2.7</c:v>
                </c:pt>
                <c:pt idx="9" formatCode="General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599-4A06-B740-707A0525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406392"/>
        <c:axId val="931406784"/>
      </c:lineChart>
      <c:catAx>
        <c:axId val="931406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1406784"/>
        <c:crosses val="autoZero"/>
        <c:auto val="1"/>
        <c:lblAlgn val="ctr"/>
        <c:lblOffset val="100"/>
        <c:noMultiLvlLbl val="0"/>
      </c:catAx>
      <c:valAx>
        <c:axId val="931406784"/>
        <c:scaling>
          <c:orientation val="minMax"/>
          <c:max val="7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1406392"/>
        <c:crosses val="autoZero"/>
        <c:crossBetween val="midCat"/>
        <c:majorUnit val="1"/>
      </c:valAx>
    </c:plotArea>
    <c:legend>
      <c:legendPos val="l"/>
      <c:layout>
        <c:manualLayout>
          <c:xMode val="edge"/>
          <c:yMode val="edge"/>
          <c:x val="6.6666666666666666E-2"/>
          <c:y val="8.60023531541316E-2"/>
          <c:w val="0.18639686931025515"/>
          <c:h val="0.2900247576944603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 + 4'!$K$8</c:f>
              <c:strCache>
                <c:ptCount val="1"/>
                <c:pt idx="0">
                  <c:v>private 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+ 4'!$L$8:$Q$8</c:f>
              <c:numCache>
                <c:formatCode>0.0</c:formatCode>
                <c:ptCount val="6"/>
                <c:pt idx="0">
                  <c:v>1.8065900349373414</c:v>
                </c:pt>
                <c:pt idx="1">
                  <c:v>1.8270919041007212</c:v>
                </c:pt>
                <c:pt idx="2">
                  <c:v>1.9397784643920459</c:v>
                </c:pt>
                <c:pt idx="3">
                  <c:v>1.8205216538272242</c:v>
                </c:pt>
                <c:pt idx="4">
                  <c:v>1.9121543279507023</c:v>
                </c:pt>
                <c:pt idx="5">
                  <c:v>1.124786786774463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99-4020-BC58-4495DFFF5CB0}"/>
            </c:ext>
          </c:extLst>
        </c:ser>
        <c:ser>
          <c:idx val="2"/>
          <c:order val="2"/>
          <c:tx>
            <c:strRef>
              <c:f>'Graf 3 + 4'!$K$9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+ 4'!$L$9:$Q$9</c:f>
              <c:numCache>
                <c:formatCode>0.0</c:formatCode>
                <c:ptCount val="6"/>
                <c:pt idx="0">
                  <c:v>-0.20033684175736183</c:v>
                </c:pt>
                <c:pt idx="1">
                  <c:v>-5.3536625203992334E-2</c:v>
                </c:pt>
                <c:pt idx="2">
                  <c:v>-0.24602935606971038</c:v>
                </c:pt>
                <c:pt idx="3">
                  <c:v>0.64735645464789082</c:v>
                </c:pt>
                <c:pt idx="4">
                  <c:v>0.53895225960552773</c:v>
                </c:pt>
                <c:pt idx="5">
                  <c:v>0.43905533777850553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99-4020-BC58-4495DFFF5CB0}"/>
            </c:ext>
          </c:extLst>
        </c:ser>
        <c:ser>
          <c:idx val="3"/>
          <c:order val="3"/>
          <c:tx>
            <c:strRef>
              <c:f>'Graf 3 + 4'!$K$10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+ 4'!$L$10:$Q$10</c:f>
              <c:numCache>
                <c:formatCode>0.0</c:formatCode>
                <c:ptCount val="6"/>
                <c:pt idx="0">
                  <c:v>0.14905867463923061</c:v>
                </c:pt>
                <c:pt idx="1">
                  <c:v>-1.2085016404080102</c:v>
                </c:pt>
                <c:pt idx="2">
                  <c:v>2.2047030527999292</c:v>
                </c:pt>
                <c:pt idx="3">
                  <c:v>1.4735826368460507</c:v>
                </c:pt>
                <c:pt idx="4">
                  <c:v>2.3354865357144057</c:v>
                </c:pt>
                <c:pt idx="5">
                  <c:v>4.1394168512633733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99-4020-BC58-4495DFFF5CB0}"/>
            </c:ext>
          </c:extLst>
        </c:ser>
        <c:ser>
          <c:idx val="4"/>
          <c:order val="4"/>
          <c:tx>
            <c:strRef>
              <c:f>'Graf 3 + 4'!$K$11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+ 4'!$L$11:$Q$11</c:f>
              <c:numCache>
                <c:formatCode>0.0</c:formatCode>
                <c:ptCount val="6"/>
                <c:pt idx="0">
                  <c:v>1.0775465911641606</c:v>
                </c:pt>
                <c:pt idx="1">
                  <c:v>0.44402356625077194</c:v>
                </c:pt>
                <c:pt idx="2">
                  <c:v>-1.5801216551489223</c:v>
                </c:pt>
                <c:pt idx="3">
                  <c:v>2.7151538703069007</c:v>
                </c:pt>
                <c:pt idx="4">
                  <c:v>-0.62341009725272312</c:v>
                </c:pt>
                <c:pt idx="5">
                  <c:v>0.83936417634790517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99-4020-BC58-4495DFFF5CB0}"/>
            </c:ext>
          </c:extLst>
        </c:ser>
        <c:ser>
          <c:idx val="5"/>
          <c:order val="5"/>
          <c:tx>
            <c:strRef>
              <c:f>'Graf 3 + 4'!$K$12</c:f>
              <c:strCache>
                <c:ptCount val="1"/>
                <c:pt idx="0">
                  <c:v>inventories and stat. disc.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+ 4'!$L$12:$Q$12</c:f>
              <c:numCache>
                <c:formatCode>0.0</c:formatCode>
                <c:ptCount val="6"/>
                <c:pt idx="0">
                  <c:v>0.15158705348845913</c:v>
                </c:pt>
                <c:pt idx="1">
                  <c:v>2.7241952604984494</c:v>
                </c:pt>
                <c:pt idx="2">
                  <c:v>1.0611284197967077</c:v>
                </c:pt>
                <c:pt idx="3">
                  <c:v>-3.1878698318876468</c:v>
                </c:pt>
                <c:pt idx="4">
                  <c:v>-0.60161366353445311</c:v>
                </c:pt>
                <c:pt idx="5">
                  <c:v>-2.2970796835362064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99-4020-BC58-4495DFFF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7289960"/>
        <c:axId val="877290352"/>
      </c:barChart>
      <c:lineChart>
        <c:grouping val="standard"/>
        <c:varyColors val="0"/>
        <c:ser>
          <c:idx val="0"/>
          <c:order val="0"/>
          <c:tx>
            <c:strRef>
              <c:f>'Graf 3 + 4'!$K$7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4345436507936505E-2"/>
                  <c:y val="-7.1128888888888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999-4020-BC58-4495DFFF5CB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 + 4'!$L$6:$Q$6</c:f>
              <c:strCache>
                <c:ptCount val="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</c:strCache>
            </c:strRef>
          </c:cat>
          <c:val>
            <c:numRef>
              <c:f>'Graf 3 + 4'!$L$7:$Q$7</c:f>
              <c:numCache>
                <c:formatCode>0.0</c:formatCode>
                <c:ptCount val="6"/>
                <c:pt idx="0">
                  <c:v>2.9844455124718299</c:v>
                </c:pt>
                <c:pt idx="1">
                  <c:v>3.7332724652379401</c:v>
                </c:pt>
                <c:pt idx="2">
                  <c:v>3.37945892577005</c:v>
                </c:pt>
                <c:pt idx="3">
                  <c:v>3.4687447837404202</c:v>
                </c:pt>
                <c:pt idx="4">
                  <c:v>3.5615693624834601</c:v>
                </c:pt>
                <c:pt idx="5">
                  <c:v>4.24554346862804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999-4020-BC58-4495DFFF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89960"/>
        <c:axId val="877290352"/>
      </c:lineChart>
      <c:catAx>
        <c:axId val="87728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1"/>
            </a:pPr>
            <a:endParaRPr lang="sk-SK"/>
          </a:p>
        </c:txPr>
        <c:crossAx val="877290352"/>
        <c:crosses val="autoZero"/>
        <c:auto val="1"/>
        <c:lblAlgn val="ctr"/>
        <c:lblOffset val="100"/>
        <c:noMultiLvlLbl val="0"/>
      </c:catAx>
      <c:valAx>
        <c:axId val="877290352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87728996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35 + 36'!$J$13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+ 36'!$K$13:$Z$13</c15:sqref>
                  </c15:fullRef>
                </c:ext>
              </c:extLst>
              <c:f>'Graf 35 + 36'!$M$13:$Z$13</c:f>
              <c:numCache>
                <c:formatCode>#\ ##0.0</c:formatCode>
                <c:ptCount val="14"/>
                <c:pt idx="0">
                  <c:v>36.9</c:v>
                </c:pt>
                <c:pt idx="1">
                  <c:v>44.1</c:v>
                </c:pt>
                <c:pt idx="2">
                  <c:v>42.1</c:v>
                </c:pt>
                <c:pt idx="3">
                  <c:v>40.799999999999997</c:v>
                </c:pt>
                <c:pt idx="4">
                  <c:v>40.6</c:v>
                </c:pt>
                <c:pt idx="5">
                  <c:v>41.4</c:v>
                </c:pt>
                <c:pt idx="6">
                  <c:v>42</c:v>
                </c:pt>
                <c:pt idx="7">
                  <c:v>45.2</c:v>
                </c:pt>
                <c:pt idx="8" formatCode="General">
                  <c:v>41.5</c:v>
                </c:pt>
                <c:pt idx="9" formatCode="General">
                  <c:v>40.4</c:v>
                </c:pt>
                <c:pt idx="10" formatCode="0.0">
                  <c:v>39.71876790983297</c:v>
                </c:pt>
                <c:pt idx="11" formatCode="0.0">
                  <c:v>38.454008935234242</c:v>
                </c:pt>
                <c:pt idx="12" formatCode="0.0">
                  <c:v>38.516615717573984</c:v>
                </c:pt>
                <c:pt idx="13" formatCode="0.0">
                  <c:v>37.391051522424142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D9-44B2-B14B-39169C25BA1B}"/>
            </c:ext>
          </c:extLst>
        </c:ser>
        <c:ser>
          <c:idx val="5"/>
          <c:order val="1"/>
          <c:tx>
            <c:strRef>
              <c:f>'Graf 35 + 36'!$J$14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+ 36'!$K$14:$Z$14</c15:sqref>
                  </c15:fullRef>
                </c:ext>
              </c:extLst>
              <c:f>'Graf 35 + 36'!$M$14:$Z$14</c:f>
              <c:numCache>
                <c:formatCode>0.0</c:formatCode>
                <c:ptCount val="14"/>
                <c:pt idx="0">
                  <c:v>44.5</c:v>
                </c:pt>
                <c:pt idx="1">
                  <c:v>46.533333333333331</c:v>
                </c:pt>
                <c:pt idx="2">
                  <c:v>46.166666666666664</c:v>
                </c:pt>
                <c:pt idx="3">
                  <c:v>45.433333333333337</c:v>
                </c:pt>
                <c:pt idx="4">
                  <c:v>45.300000000000004</c:v>
                </c:pt>
                <c:pt idx="5">
                  <c:v>44.833333333333336</c:v>
                </c:pt>
                <c:pt idx="6">
                  <c:v>44.699999999999996</c:v>
                </c:pt>
                <c:pt idx="7">
                  <c:v>44.466666666666669</c:v>
                </c:pt>
                <c:pt idx="8">
                  <c:v>42.333333333333336</c:v>
                </c:pt>
                <c:pt idx="9">
                  <c:v>42.166666666666664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D9-44B2-B14B-39169C25BA1B}"/>
            </c:ext>
          </c:extLst>
        </c:ser>
        <c:ser>
          <c:idx val="0"/>
          <c:order val="2"/>
          <c:tx>
            <c:strRef>
              <c:f>'Graf 35 + 36'!$J$15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64"/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+ 36'!$K$15:$Z$15</c15:sqref>
                  </c15:fullRef>
                </c:ext>
              </c:extLst>
              <c:f>'Graf 35 + 36'!$M$15:$Z$15</c:f>
              <c:numCache>
                <c:formatCode>0.0</c:formatCode>
                <c:ptCount val="14"/>
                <c:pt idx="0">
                  <c:v>46.6</c:v>
                </c:pt>
                <c:pt idx="1">
                  <c:v>50.7</c:v>
                </c:pt>
                <c:pt idx="2">
                  <c:v>50.6</c:v>
                </c:pt>
                <c:pt idx="3">
                  <c:v>49.2</c:v>
                </c:pt>
                <c:pt idx="4">
                  <c:v>49.8</c:v>
                </c:pt>
                <c:pt idx="5">
                  <c:v>49.8</c:v>
                </c:pt>
                <c:pt idx="6">
                  <c:v>49.2</c:v>
                </c:pt>
                <c:pt idx="7">
                  <c:v>48.3</c:v>
                </c:pt>
                <c:pt idx="8">
                  <c:v>47.6</c:v>
                </c:pt>
                <c:pt idx="9">
                  <c:v>47.1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D9-44B2-B14B-39169C25BA1B}"/>
            </c:ext>
          </c:extLst>
        </c:ser>
        <c:ser>
          <c:idx val="1"/>
          <c:order val="3"/>
          <c:tx>
            <c:strRef>
              <c:f>'Graf 35 + 36'!$J$16</c:f>
              <c:strCache>
                <c:ptCount val="1"/>
                <c:pt idx="0">
                  <c:v>EA 28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+ 36'!$K$8:$Z$8</c15:sqref>
                  </c15:fullRef>
                </c:ext>
              </c:extLst>
              <c:f>'Graf 35 + 36'!$M$8:$Z$8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+ 36'!$K$16:$Z$16</c15:sqref>
                  </c15:fullRef>
                </c:ext>
              </c:extLst>
              <c:f>'Graf 35 + 36'!$M$16:$Z$16</c:f>
              <c:numCache>
                <c:formatCode>General</c:formatCode>
                <c:ptCount val="14"/>
                <c:pt idx="0">
                  <c:v>46.2</c:v>
                </c:pt>
                <c:pt idx="1">
                  <c:v>50.1</c:v>
                </c:pt>
                <c:pt idx="2">
                  <c:v>49.9</c:v>
                </c:pt>
                <c:pt idx="3">
                  <c:v>48.6</c:v>
                </c:pt>
                <c:pt idx="4" formatCode="0.0">
                  <c:v>48.9</c:v>
                </c:pt>
                <c:pt idx="5">
                  <c:v>48.6</c:v>
                </c:pt>
                <c:pt idx="6">
                  <c:v>48</c:v>
                </c:pt>
                <c:pt idx="7">
                  <c:v>47</c:v>
                </c:pt>
                <c:pt idx="8">
                  <c:v>46.3</c:v>
                </c:pt>
                <c:pt idx="9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ED9-44B2-B14B-39169C25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407568"/>
        <c:axId val="931407960"/>
      </c:lineChart>
      <c:catAx>
        <c:axId val="93140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931407960"/>
        <c:crosses val="autoZero"/>
        <c:auto val="1"/>
        <c:lblAlgn val="ctr"/>
        <c:lblOffset val="100"/>
        <c:noMultiLvlLbl val="0"/>
      </c:catAx>
      <c:valAx>
        <c:axId val="931407960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140756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75634653310066846"/>
          <c:y val="8.6002437957796773E-2"/>
          <c:w val="0.17762879192114389"/>
          <c:h val="0.3068663212838197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35 + 36'!$J$26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+ 36'!$K$26:$Z$26</c15:sqref>
                  </c15:fullRef>
                </c:ext>
              </c:extLst>
              <c:f>'Graf 35 + 36'!$M$26:$Z$26</c:f>
              <c:numCache>
                <c:formatCode>#\ ##0.0</c:formatCode>
                <c:ptCount val="14"/>
                <c:pt idx="0">
                  <c:v>3.4</c:v>
                </c:pt>
                <c:pt idx="1">
                  <c:v>3.9</c:v>
                </c:pt>
                <c:pt idx="2">
                  <c:v>3.6</c:v>
                </c:pt>
                <c:pt idx="3">
                  <c:v>3.8</c:v>
                </c:pt>
                <c:pt idx="4">
                  <c:v>3.4</c:v>
                </c:pt>
                <c:pt idx="5">
                  <c:v>3.3</c:v>
                </c:pt>
                <c:pt idx="6">
                  <c:v>4</c:v>
                </c:pt>
                <c:pt idx="7">
                  <c:v>6.3</c:v>
                </c:pt>
                <c:pt idx="8" formatCode="0.0">
                  <c:v>3.2</c:v>
                </c:pt>
                <c:pt idx="9" formatCode="0.0">
                  <c:v>3.2</c:v>
                </c:pt>
                <c:pt idx="10" formatCode="0.0">
                  <c:v>3.1556878351943074</c:v>
                </c:pt>
                <c:pt idx="11" formatCode="0.0">
                  <c:v>2.3858887169086893</c:v>
                </c:pt>
                <c:pt idx="12" formatCode="0.0">
                  <c:v>2.4866995510415864</c:v>
                </c:pt>
                <c:pt idx="13" formatCode="0.0">
                  <c:v>2.678461799670727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99-4A06-B740-707A05255EBE}"/>
            </c:ext>
          </c:extLst>
        </c:ser>
        <c:ser>
          <c:idx val="5"/>
          <c:order val="1"/>
          <c:tx>
            <c:strRef>
              <c:f>'Graf 35 + 36'!$J$27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+ 36'!$K$27:$Z$27</c15:sqref>
                  </c15:fullRef>
                </c:ext>
              </c:extLst>
              <c:f>'Graf 35 + 36'!$M$27:$Z$27</c:f>
              <c:numCache>
                <c:formatCode>#\ ##0.0</c:formatCode>
                <c:ptCount val="14"/>
                <c:pt idx="0">
                  <c:v>4.4333333333333336</c:v>
                </c:pt>
                <c:pt idx="1">
                  <c:v>4.8</c:v>
                </c:pt>
                <c:pt idx="2">
                  <c:v>4.8</c:v>
                </c:pt>
                <c:pt idx="3">
                  <c:v>4.5666666666666664</c:v>
                </c:pt>
                <c:pt idx="4">
                  <c:v>4.2</c:v>
                </c:pt>
                <c:pt idx="5">
                  <c:v>4.0666666666666673</c:v>
                </c:pt>
                <c:pt idx="6">
                  <c:v>4.6333333333333329</c:v>
                </c:pt>
                <c:pt idx="7">
                  <c:v>5.3666666666666671</c:v>
                </c:pt>
                <c:pt idx="8">
                  <c:v>3.2333333333333329</c:v>
                </c:pt>
                <c:pt idx="9" formatCode="General">
                  <c:v>3.8000000000000003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99-4A06-B740-707A05255EBE}"/>
            </c:ext>
          </c:extLst>
        </c:ser>
        <c:ser>
          <c:idx val="0"/>
          <c:order val="2"/>
          <c:tx>
            <c:strRef>
              <c:f>'Graf 35 + 36'!$J$28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64"/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+ 36'!$K$28:$Z$28</c15:sqref>
                  </c15:fullRef>
                </c:ext>
              </c:extLst>
              <c:f>'Graf 35 + 36'!$M$28:$Z$28</c:f>
              <c:numCache>
                <c:formatCode>#\ ##0.0</c:formatCode>
                <c:ptCount val="14"/>
                <c:pt idx="0">
                  <c:v>3.3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2.8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599-4A06-B740-707A05255EBE}"/>
            </c:ext>
          </c:extLst>
        </c:ser>
        <c:ser>
          <c:idx val="1"/>
          <c:order val="3"/>
          <c:tx>
            <c:strRef>
              <c:f>'Graf 35 + 36'!$J$21</c:f>
              <c:strCache>
                <c:ptCount val="1"/>
                <c:pt idx="0">
                  <c:v>EU28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'Graf 35 + 36'!$K$20:$Z$20</c15:sqref>
                  </c15:fullRef>
                </c:ext>
              </c:extLst>
              <c:f>'Graf 35 + 36'!$M$20:$Z$20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+ 36'!$K$21:$Z$21</c15:sqref>
                  </c15:fullRef>
                </c:ext>
              </c:extLst>
              <c:f>'Graf 35 + 36'!$M$21:$Z$21</c:f>
              <c:numCache>
                <c:formatCode>#\ ##0.0</c:formatCode>
                <c:ptCount val="14"/>
                <c:pt idx="0">
                  <c:v>3.4</c:v>
                </c:pt>
                <c:pt idx="1">
                  <c:v>3.7</c:v>
                </c:pt>
                <c:pt idx="2">
                  <c:v>3.5</c:v>
                </c:pt>
                <c:pt idx="3">
                  <c:v>3.3</c:v>
                </c:pt>
                <c:pt idx="4">
                  <c:v>3.1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 formatCode="General">
                  <c:v>2.7</c:v>
                </c:pt>
                <c:pt idx="9" formatCode="General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599-4A06-B740-707A0525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408744"/>
        <c:axId val="931409136"/>
      </c:lineChart>
      <c:catAx>
        <c:axId val="931408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931409136"/>
        <c:crosses val="autoZero"/>
        <c:auto val="1"/>
        <c:lblAlgn val="ctr"/>
        <c:lblOffset val="100"/>
        <c:noMultiLvlLbl val="0"/>
      </c:catAx>
      <c:valAx>
        <c:axId val="931409136"/>
        <c:scaling>
          <c:orientation val="minMax"/>
          <c:max val="7"/>
          <c:min val="2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31408744"/>
        <c:crosses val="autoZero"/>
        <c:crossBetween val="midCat"/>
        <c:majorUnit val="1"/>
      </c:valAx>
    </c:plotArea>
    <c:legend>
      <c:legendPos val="l"/>
      <c:layout>
        <c:manualLayout>
          <c:xMode val="edge"/>
          <c:yMode val="edge"/>
          <c:x val="6.6666666666666666E-2"/>
          <c:y val="8.60023531541316E-2"/>
          <c:w val="0.18639686931025515"/>
          <c:h val="0.2900247576944603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37 + Tabuľka 14'!$S$39</c:f>
              <c:strCache>
                <c:ptCount val="1"/>
                <c:pt idx="0">
                  <c:v>p. b. HDP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4444444444444445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63-45EF-86FC-79CAB449F3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37 + Tabuľka 14'!$R$40:$R$49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37 + Tabuľka 14'!$T$40:$T$49</c:f>
              <c:numCache>
                <c:formatCode>_(* #,##0.00_);_(* \(#,##0.00\);_(* "-"??_);_(@_)</c:formatCode>
                <c:ptCount val="10"/>
                <c:pt idx="0">
                  <c:v>-0.58528855940624602</c:v>
                </c:pt>
                <c:pt idx="1">
                  <c:v>6.7382867889664411E-2</c:v>
                </c:pt>
                <c:pt idx="2">
                  <c:v>-0.21293152097652024</c:v>
                </c:pt>
                <c:pt idx="3">
                  <c:v>-5.4195246568206734E-2</c:v>
                </c:pt>
                <c:pt idx="4">
                  <c:v>-0.12157746598160374</c:v>
                </c:pt>
                <c:pt idx="5">
                  <c:v>-7.9054285602052521E-2</c:v>
                </c:pt>
                <c:pt idx="6">
                  <c:v>9.5089825802331607E-2</c:v>
                </c:pt>
                <c:pt idx="7">
                  <c:v>-0.12072927681096646</c:v>
                </c:pt>
                <c:pt idx="8">
                  <c:v>3.5290254266570065E-2</c:v>
                </c:pt>
                <c:pt idx="9">
                  <c:v>-0.29074779901630876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63-45EF-86FC-79CAB449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931409920"/>
        <c:axId val="924033064"/>
      </c:barChart>
      <c:catAx>
        <c:axId val="93140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3064"/>
        <c:crossesAt val="0"/>
        <c:auto val="1"/>
        <c:lblAlgn val="ctr"/>
        <c:lblOffset val="100"/>
        <c:noMultiLvlLbl val="0"/>
      </c:catAx>
      <c:valAx>
        <c:axId val="924033064"/>
        <c:scaling>
          <c:orientation val="minMax"/>
          <c:min val="-0.9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3140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37 + Tabuľka 14'!$S$39</c:f>
              <c:strCache>
                <c:ptCount val="1"/>
                <c:pt idx="0">
                  <c:v>p. b. HDP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37 + Tabuľka 14'!$R$40:$R$49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37 + Tabuľka 14'!$S$40:$S$49</c:f>
              <c:numCache>
                <c:formatCode>0.00</c:formatCode>
                <c:ptCount val="10"/>
                <c:pt idx="0">
                  <c:v>-6.9812966712120783E-2</c:v>
                </c:pt>
                <c:pt idx="1">
                  <c:v>0.12094426787288048</c:v>
                </c:pt>
                <c:pt idx="2">
                  <c:v>9.9430240736245512E-2</c:v>
                </c:pt>
                <c:pt idx="3">
                  <c:v>-0.10217236661974738</c:v>
                </c:pt>
                <c:pt idx="4">
                  <c:v>2.3651456791812187E-2</c:v>
                </c:pt>
                <c:pt idx="5">
                  <c:v>5.0772463720903716E-2</c:v>
                </c:pt>
                <c:pt idx="6">
                  <c:v>0.27993986554570993</c:v>
                </c:pt>
                <c:pt idx="7">
                  <c:v>0.10160617153062823</c:v>
                </c:pt>
                <c:pt idx="8">
                  <c:v>7.5174219890188354E-3</c:v>
                </c:pt>
                <c:pt idx="9">
                  <c:v>-3.4066809629869077E-2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6-4C43-ABB2-F0F17CF6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924033848"/>
        <c:axId val="924034240"/>
      </c:barChart>
      <c:catAx>
        <c:axId val="924033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4240"/>
        <c:crosses val="autoZero"/>
        <c:auto val="1"/>
        <c:lblAlgn val="ctr"/>
        <c:lblOffset val="100"/>
        <c:noMultiLvlLbl val="0"/>
      </c:catAx>
      <c:valAx>
        <c:axId val="92403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37 + Tabuľka 14'!$S$39</c:f>
              <c:strCache>
                <c:ptCount val="1"/>
                <c:pt idx="0">
                  <c:v>p. b. HDP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4444444444444445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63-45EF-86FC-79CAB449F3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37 + Tabuľka 14'!$R$40:$R$49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37 + Tabuľka 14'!$T$40:$T$49</c:f>
              <c:numCache>
                <c:formatCode>_(* #,##0.00_);_(* \(#,##0.00\);_(* "-"??_);_(@_)</c:formatCode>
                <c:ptCount val="10"/>
                <c:pt idx="0">
                  <c:v>-0.58528855940624602</c:v>
                </c:pt>
                <c:pt idx="1">
                  <c:v>6.7382867889664411E-2</c:v>
                </c:pt>
                <c:pt idx="2">
                  <c:v>-0.21293152097652024</c:v>
                </c:pt>
                <c:pt idx="3">
                  <c:v>-5.4195246568206734E-2</c:v>
                </c:pt>
                <c:pt idx="4">
                  <c:v>-0.12157746598160374</c:v>
                </c:pt>
                <c:pt idx="5">
                  <c:v>-7.9054285602052521E-2</c:v>
                </c:pt>
                <c:pt idx="6">
                  <c:v>9.5089825802331607E-2</c:v>
                </c:pt>
                <c:pt idx="7">
                  <c:v>-0.12072927681096646</c:v>
                </c:pt>
                <c:pt idx="8">
                  <c:v>3.5290254266570065E-2</c:v>
                </c:pt>
                <c:pt idx="9">
                  <c:v>-0.29074779901630876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63-45EF-86FC-79CAB449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924035024"/>
        <c:axId val="924035416"/>
      </c:barChart>
      <c:catAx>
        <c:axId val="92403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5416"/>
        <c:crossesAt val="0"/>
        <c:auto val="1"/>
        <c:lblAlgn val="ctr"/>
        <c:lblOffset val="100"/>
        <c:noMultiLvlLbl val="0"/>
      </c:catAx>
      <c:valAx>
        <c:axId val="924035416"/>
        <c:scaling>
          <c:orientation val="minMax"/>
          <c:min val="-0.9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37 + Tabuľka 14'!$S$39</c:f>
              <c:strCache>
                <c:ptCount val="1"/>
                <c:pt idx="0">
                  <c:v>p. b. HDP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37 + Tabuľka 14'!$R$89:$R$98</c:f>
              <c:strCache>
                <c:ptCount val="10"/>
                <c:pt idx="0">
                  <c:v>Social security</c:v>
                </c:pt>
                <c:pt idx="1">
                  <c:v>Education</c:v>
                </c:pt>
                <c:pt idx="2">
                  <c:v>Recreation, culture, religion</c:v>
                </c:pt>
                <c:pt idx="3">
                  <c:v>Healthcare</c:v>
                </c:pt>
                <c:pt idx="4">
                  <c:v>Housing and amenities</c:v>
                </c:pt>
                <c:pt idx="5">
                  <c:v>Enviromental protection</c:v>
                </c:pt>
                <c:pt idx="6">
                  <c:v>Economic area</c:v>
                </c:pt>
                <c:pt idx="7">
                  <c:v>Public order and safety</c:v>
                </c:pt>
                <c:pt idx="8">
                  <c:v>Defence</c:v>
                </c:pt>
                <c:pt idx="9">
                  <c:v>General public services</c:v>
                </c:pt>
              </c:strCache>
            </c:strRef>
          </c:cat>
          <c:val>
            <c:numRef>
              <c:f>'Graf 37 + Tabuľka 14'!$S$40:$S$49</c:f>
              <c:numCache>
                <c:formatCode>0.00</c:formatCode>
                <c:ptCount val="10"/>
                <c:pt idx="0">
                  <c:v>-6.9812966712120783E-2</c:v>
                </c:pt>
                <c:pt idx="1">
                  <c:v>0.12094426787288048</c:v>
                </c:pt>
                <c:pt idx="2">
                  <c:v>9.9430240736245512E-2</c:v>
                </c:pt>
                <c:pt idx="3">
                  <c:v>-0.10217236661974738</c:v>
                </c:pt>
                <c:pt idx="4">
                  <c:v>2.3651456791812187E-2</c:v>
                </c:pt>
                <c:pt idx="5">
                  <c:v>5.0772463720903716E-2</c:v>
                </c:pt>
                <c:pt idx="6">
                  <c:v>0.27993986554570993</c:v>
                </c:pt>
                <c:pt idx="7">
                  <c:v>0.10160617153062823</c:v>
                </c:pt>
                <c:pt idx="8">
                  <c:v>7.5174219890188354E-3</c:v>
                </c:pt>
                <c:pt idx="9">
                  <c:v>-3.4066809629869077E-2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6-4C43-ABB2-F0F17CF6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924036200"/>
        <c:axId val="924036592"/>
      </c:barChart>
      <c:catAx>
        <c:axId val="924036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6592"/>
        <c:crosses val="autoZero"/>
        <c:auto val="1"/>
        <c:lblAlgn val="ctr"/>
        <c:lblOffset val="100"/>
        <c:noMultiLvlLbl val="0"/>
      </c:catAx>
      <c:valAx>
        <c:axId val="92403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92403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9963450844872994"/>
          <c:h val="0.71673313563077357"/>
        </c:manualLayout>
      </c:layout>
      <c:lineChart>
        <c:grouping val="standard"/>
        <c:varyColors val="0"/>
        <c:ser>
          <c:idx val="3"/>
          <c:order val="0"/>
          <c:tx>
            <c:strRef>
              <c:f>'Graf 38+39'!$H$5</c:f>
              <c:strCache>
                <c:ptCount val="1"/>
                <c:pt idx="0">
                  <c:v>SK</c:v>
                </c:pt>
              </c:strCache>
            </c:strRef>
          </c:tx>
          <c:spPr>
            <a:ln w="22225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38+39'!$M$5:$AX$5</c:f>
              <c:numCache>
                <c:formatCode>General</c:formatCode>
                <c:ptCount val="38"/>
                <c:pt idx="0">
                  <c:v>10.199999999999999</c:v>
                </c:pt>
                <c:pt idx="1">
                  <c:v>11.4</c:v>
                </c:pt>
                <c:pt idx="2">
                  <c:v>12.8</c:v>
                </c:pt>
                <c:pt idx="3">
                  <c:v>14.1</c:v>
                </c:pt>
                <c:pt idx="4">
                  <c:v>14.9</c:v>
                </c:pt>
                <c:pt idx="5">
                  <c:v>14.7</c:v>
                </c:pt>
                <c:pt idx="6">
                  <c:v>14.3</c:v>
                </c:pt>
                <c:pt idx="7">
                  <c:v>13.9</c:v>
                </c:pt>
                <c:pt idx="8">
                  <c:v>13.8</c:v>
                </c:pt>
                <c:pt idx="9">
                  <c:v>13.7</c:v>
                </c:pt>
                <c:pt idx="10">
                  <c:v>13.6</c:v>
                </c:pt>
                <c:pt idx="11">
                  <c:v>13.7</c:v>
                </c:pt>
                <c:pt idx="12">
                  <c:v>13.8</c:v>
                </c:pt>
                <c:pt idx="13">
                  <c:v>13.9</c:v>
                </c:pt>
                <c:pt idx="14">
                  <c:v>14</c:v>
                </c:pt>
                <c:pt idx="15">
                  <c:v>14.3</c:v>
                </c:pt>
                <c:pt idx="16">
                  <c:v>14.3</c:v>
                </c:pt>
                <c:pt idx="17">
                  <c:v>14.3</c:v>
                </c:pt>
                <c:pt idx="18">
                  <c:v>14.2</c:v>
                </c:pt>
                <c:pt idx="19">
                  <c:v>14.1</c:v>
                </c:pt>
                <c:pt idx="20">
                  <c:v>13.9</c:v>
                </c:pt>
                <c:pt idx="21">
                  <c:v>13.5</c:v>
                </c:pt>
                <c:pt idx="22">
                  <c:v>13</c:v>
                </c:pt>
                <c:pt idx="23">
                  <c:v>12.5</c:v>
                </c:pt>
                <c:pt idx="24">
                  <c:v>12.2</c:v>
                </c:pt>
                <c:pt idx="25">
                  <c:v>11.6</c:v>
                </c:pt>
                <c:pt idx="26">
                  <c:v>11.3</c:v>
                </c:pt>
                <c:pt idx="27">
                  <c:v>10.8</c:v>
                </c:pt>
                <c:pt idx="28">
                  <c:v>10.4</c:v>
                </c:pt>
                <c:pt idx="29">
                  <c:v>9.8000000000000007</c:v>
                </c:pt>
                <c:pt idx="30">
                  <c:v>9.5</c:v>
                </c:pt>
                <c:pt idx="31">
                  <c:v>9</c:v>
                </c:pt>
                <c:pt idx="32">
                  <c:v>8.6999999999999993</c:v>
                </c:pt>
                <c:pt idx="33">
                  <c:v>8.3000000000000007</c:v>
                </c:pt>
                <c:pt idx="34">
                  <c:v>7.9</c:v>
                </c:pt>
                <c:pt idx="35">
                  <c:v>7.6</c:v>
                </c:pt>
                <c:pt idx="36">
                  <c:v>7.1</c:v>
                </c:pt>
                <c:pt idx="37">
                  <c:v>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E2-4D55-8CCF-AAE80C2D8C35}"/>
            </c:ext>
          </c:extLst>
        </c:ser>
        <c:ser>
          <c:idx val="5"/>
          <c:order val="1"/>
          <c:tx>
            <c:strRef>
              <c:f>'Graf 38+39'!$H$6</c:f>
              <c:strCache>
                <c:ptCount val="1"/>
                <c:pt idx="0">
                  <c:v>CZ</c:v>
                </c:pt>
              </c:strCache>
            </c:strRef>
          </c:tx>
          <c:spPr>
            <a:ln w="22225">
              <a:solidFill>
                <a:srgbClr val="333F50"/>
              </a:solidFill>
              <a:prstDash val="dash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38+39'!$M$6:$AX$6</c:f>
              <c:numCache>
                <c:formatCode>General</c:formatCode>
                <c:ptCount val="38"/>
                <c:pt idx="0">
                  <c:v>5.6</c:v>
                </c:pt>
                <c:pt idx="1">
                  <c:v>6.5</c:v>
                </c:pt>
                <c:pt idx="2">
                  <c:v>7.3</c:v>
                </c:pt>
                <c:pt idx="3">
                  <c:v>7.4</c:v>
                </c:pt>
                <c:pt idx="4">
                  <c:v>7.7</c:v>
                </c:pt>
                <c:pt idx="5">
                  <c:v>7.3</c:v>
                </c:pt>
                <c:pt idx="6">
                  <c:v>7.1</c:v>
                </c:pt>
                <c:pt idx="7">
                  <c:v>7</c:v>
                </c:pt>
                <c:pt idx="8">
                  <c:v>6.9</c:v>
                </c:pt>
                <c:pt idx="9">
                  <c:v>6.9</c:v>
                </c:pt>
                <c:pt idx="10">
                  <c:v>6.6</c:v>
                </c:pt>
                <c:pt idx="11">
                  <c:v>6.5</c:v>
                </c:pt>
                <c:pt idx="12">
                  <c:v>6.8</c:v>
                </c:pt>
                <c:pt idx="13">
                  <c:v>6.9</c:v>
                </c:pt>
                <c:pt idx="14">
                  <c:v>7</c:v>
                </c:pt>
                <c:pt idx="15">
                  <c:v>7.2</c:v>
                </c:pt>
                <c:pt idx="16">
                  <c:v>7.2</c:v>
                </c:pt>
                <c:pt idx="17">
                  <c:v>7</c:v>
                </c:pt>
                <c:pt idx="18">
                  <c:v>6.9</c:v>
                </c:pt>
                <c:pt idx="19">
                  <c:v>6.8</c:v>
                </c:pt>
                <c:pt idx="20">
                  <c:v>6.5</c:v>
                </c:pt>
                <c:pt idx="21">
                  <c:v>6.2</c:v>
                </c:pt>
                <c:pt idx="22">
                  <c:v>5.9</c:v>
                </c:pt>
                <c:pt idx="23">
                  <c:v>5.8</c:v>
                </c:pt>
                <c:pt idx="24">
                  <c:v>5.8</c:v>
                </c:pt>
                <c:pt idx="25">
                  <c:v>5.2</c:v>
                </c:pt>
                <c:pt idx="26">
                  <c:v>4.8</c:v>
                </c:pt>
                <c:pt idx="27">
                  <c:v>4.5</c:v>
                </c:pt>
                <c:pt idx="28">
                  <c:v>4.2</c:v>
                </c:pt>
                <c:pt idx="29">
                  <c:v>4.0999999999999996</c:v>
                </c:pt>
                <c:pt idx="30">
                  <c:v>3.9</c:v>
                </c:pt>
                <c:pt idx="31">
                  <c:v>3.6</c:v>
                </c:pt>
                <c:pt idx="32">
                  <c:v>3.3</c:v>
                </c:pt>
                <c:pt idx="33">
                  <c:v>3.1</c:v>
                </c:pt>
                <c:pt idx="34">
                  <c:v>2.7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E2-4D55-8CCF-AAE80C2D8C35}"/>
            </c:ext>
          </c:extLst>
        </c:ser>
        <c:ser>
          <c:idx val="0"/>
          <c:order val="2"/>
          <c:tx>
            <c:strRef>
              <c:f>'Graf 38+39'!$H$7</c:f>
              <c:strCache>
                <c:ptCount val="1"/>
                <c:pt idx="0">
                  <c:v>HU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38+39'!$M$7:$AX$7</c:f>
              <c:numCache>
                <c:formatCode>General</c:formatCode>
                <c:ptCount val="38"/>
                <c:pt idx="0">
                  <c:v>9.1999999999999993</c:v>
                </c:pt>
                <c:pt idx="1">
                  <c:v>9.8000000000000007</c:v>
                </c:pt>
                <c:pt idx="2">
                  <c:v>10.4</c:v>
                </c:pt>
                <c:pt idx="3">
                  <c:v>10.7</c:v>
                </c:pt>
                <c:pt idx="4">
                  <c:v>11.2</c:v>
                </c:pt>
                <c:pt idx="5">
                  <c:v>11.3</c:v>
                </c:pt>
                <c:pt idx="6">
                  <c:v>11.1</c:v>
                </c:pt>
                <c:pt idx="7">
                  <c:v>11.1</c:v>
                </c:pt>
                <c:pt idx="8">
                  <c:v>11.2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11.3</c:v>
                </c:pt>
                <c:pt idx="13">
                  <c:v>11.1</c:v>
                </c:pt>
                <c:pt idx="14">
                  <c:v>10.7</c:v>
                </c:pt>
                <c:pt idx="15">
                  <c:v>10.9</c:v>
                </c:pt>
                <c:pt idx="16">
                  <c:v>10.9</c:v>
                </c:pt>
                <c:pt idx="17">
                  <c:v>10.3</c:v>
                </c:pt>
                <c:pt idx="18">
                  <c:v>10</c:v>
                </c:pt>
                <c:pt idx="19">
                  <c:v>9.1999999999999993</c:v>
                </c:pt>
                <c:pt idx="20">
                  <c:v>7.9</c:v>
                </c:pt>
                <c:pt idx="21">
                  <c:v>8.1</c:v>
                </c:pt>
                <c:pt idx="22">
                  <c:v>7.5</c:v>
                </c:pt>
                <c:pt idx="23">
                  <c:v>7.3</c:v>
                </c:pt>
                <c:pt idx="24">
                  <c:v>7.4</c:v>
                </c:pt>
                <c:pt idx="25">
                  <c:v>7</c:v>
                </c:pt>
                <c:pt idx="26">
                  <c:v>6.6</c:v>
                </c:pt>
                <c:pt idx="27">
                  <c:v>6.3</c:v>
                </c:pt>
                <c:pt idx="28">
                  <c:v>5.7</c:v>
                </c:pt>
                <c:pt idx="29">
                  <c:v>5.2</c:v>
                </c:pt>
                <c:pt idx="30">
                  <c:v>4.9000000000000004</c:v>
                </c:pt>
                <c:pt idx="31">
                  <c:v>4.5</c:v>
                </c:pt>
                <c:pt idx="32">
                  <c:v>4.3</c:v>
                </c:pt>
                <c:pt idx="33">
                  <c:v>4.3</c:v>
                </c:pt>
                <c:pt idx="34">
                  <c:v>4.0999999999999996</c:v>
                </c:pt>
                <c:pt idx="35">
                  <c:v>3.9</c:v>
                </c:pt>
                <c:pt idx="36">
                  <c:v>3.7</c:v>
                </c:pt>
                <c:pt idx="37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E2-4D55-8CCF-AAE80C2D8C35}"/>
            </c:ext>
          </c:extLst>
        </c:ser>
        <c:ser>
          <c:idx val="1"/>
          <c:order val="3"/>
          <c:tx>
            <c:strRef>
              <c:f>'Graf 38+39'!$H$8</c:f>
              <c:strCache>
                <c:ptCount val="1"/>
                <c:pt idx="0">
                  <c:v>PL</c:v>
                </c:pt>
              </c:strCache>
            </c:strRef>
          </c:tx>
          <c:spPr>
            <a:ln w="22225">
              <a:solidFill>
                <a:srgbClr val="AAD3F2"/>
              </a:solidFill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38+39'!$M$8:$AX$8</c:f>
              <c:numCache>
                <c:formatCode>General</c:formatCode>
                <c:ptCount val="38"/>
                <c:pt idx="0">
                  <c:v>7.6</c:v>
                </c:pt>
                <c:pt idx="1">
                  <c:v>7.9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</c:v>
                </c:pt>
                <c:pt idx="7">
                  <c:v>9.5</c:v>
                </c:pt>
                <c:pt idx="8">
                  <c:v>9.4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9.9</c:v>
                </c:pt>
                <c:pt idx="12">
                  <c:v>9.9</c:v>
                </c:pt>
                <c:pt idx="13">
                  <c:v>10</c:v>
                </c:pt>
                <c:pt idx="14">
                  <c:v>10.3</c:v>
                </c:pt>
                <c:pt idx="15">
                  <c:v>10.4</c:v>
                </c:pt>
                <c:pt idx="16">
                  <c:v>10.5</c:v>
                </c:pt>
                <c:pt idx="17">
                  <c:v>10.5</c:v>
                </c:pt>
                <c:pt idx="18">
                  <c:v>10.3</c:v>
                </c:pt>
                <c:pt idx="19">
                  <c:v>10.1</c:v>
                </c:pt>
                <c:pt idx="20">
                  <c:v>9.8000000000000007</c:v>
                </c:pt>
                <c:pt idx="21">
                  <c:v>9.1999999999999993</c:v>
                </c:pt>
                <c:pt idx="22">
                  <c:v>8.6</c:v>
                </c:pt>
                <c:pt idx="23">
                  <c:v>8.3000000000000007</c:v>
                </c:pt>
                <c:pt idx="24">
                  <c:v>8</c:v>
                </c:pt>
                <c:pt idx="25">
                  <c:v>7.6</c:v>
                </c:pt>
                <c:pt idx="26">
                  <c:v>7.3</c:v>
                </c:pt>
                <c:pt idx="27">
                  <c:v>7</c:v>
                </c:pt>
                <c:pt idx="28">
                  <c:v>6.7</c:v>
                </c:pt>
                <c:pt idx="29">
                  <c:v>6.3</c:v>
                </c:pt>
                <c:pt idx="30">
                  <c:v>6</c:v>
                </c:pt>
                <c:pt idx="31">
                  <c:v>5.6</c:v>
                </c:pt>
                <c:pt idx="32">
                  <c:v>5.3</c:v>
                </c:pt>
                <c:pt idx="33">
                  <c:v>5.0999999999999996</c:v>
                </c:pt>
                <c:pt idx="34">
                  <c:v>4.8</c:v>
                </c:pt>
                <c:pt idx="35">
                  <c:v>4.5</c:v>
                </c:pt>
                <c:pt idx="36">
                  <c:v>4</c:v>
                </c:pt>
                <c:pt idx="37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4E2-4D55-8CCF-AAE80C2D8C35}"/>
            </c:ext>
          </c:extLst>
        </c:ser>
        <c:ser>
          <c:idx val="2"/>
          <c:order val="4"/>
          <c:tx>
            <c:strRef>
              <c:f>'Graf 38+39'!$H$9</c:f>
              <c:strCache>
                <c:ptCount val="1"/>
                <c:pt idx="0">
                  <c:v>EZ</c:v>
                </c:pt>
              </c:strCache>
            </c:strRef>
          </c:tx>
          <c:spPr>
            <a:ln w="2222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38+39'!$M$9:$AX$9</c:f>
              <c:numCache>
                <c:formatCode>General</c:formatCode>
                <c:ptCount val="38"/>
                <c:pt idx="0">
                  <c:v>9</c:v>
                </c:pt>
                <c:pt idx="1">
                  <c:v>9.6</c:v>
                </c:pt>
                <c:pt idx="2">
                  <c:v>9.9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</c:v>
                </c:pt>
                <c:pt idx="9">
                  <c:v>10</c:v>
                </c:pt>
                <c:pt idx="10">
                  <c:v>10.3</c:v>
                </c:pt>
                <c:pt idx="11">
                  <c:v>10.6</c:v>
                </c:pt>
                <c:pt idx="12">
                  <c:v>10.9</c:v>
                </c:pt>
                <c:pt idx="13">
                  <c:v>11.3</c:v>
                </c:pt>
                <c:pt idx="14">
                  <c:v>11.5</c:v>
                </c:pt>
                <c:pt idx="15">
                  <c:v>11.8</c:v>
                </c:pt>
                <c:pt idx="16">
                  <c:v>12</c:v>
                </c:pt>
                <c:pt idx="17">
                  <c:v>12.1</c:v>
                </c:pt>
                <c:pt idx="18">
                  <c:v>12</c:v>
                </c:pt>
                <c:pt idx="19">
                  <c:v>11.9</c:v>
                </c:pt>
                <c:pt idx="20">
                  <c:v>11.9</c:v>
                </c:pt>
                <c:pt idx="21">
                  <c:v>11.6</c:v>
                </c:pt>
                <c:pt idx="22">
                  <c:v>11.5</c:v>
                </c:pt>
                <c:pt idx="23">
                  <c:v>11.5</c:v>
                </c:pt>
                <c:pt idx="24">
                  <c:v>11.2</c:v>
                </c:pt>
                <c:pt idx="25">
                  <c:v>11</c:v>
                </c:pt>
                <c:pt idx="26">
                  <c:v>10.7</c:v>
                </c:pt>
                <c:pt idx="27">
                  <c:v>10.5</c:v>
                </c:pt>
                <c:pt idx="28">
                  <c:v>10.3</c:v>
                </c:pt>
                <c:pt idx="29">
                  <c:v>10.199999999999999</c:v>
                </c:pt>
                <c:pt idx="30">
                  <c:v>9.9</c:v>
                </c:pt>
                <c:pt idx="31">
                  <c:v>9.6999999999999993</c:v>
                </c:pt>
                <c:pt idx="32">
                  <c:v>9.5</c:v>
                </c:pt>
                <c:pt idx="33">
                  <c:v>9.1</c:v>
                </c:pt>
                <c:pt idx="34">
                  <c:v>9</c:v>
                </c:pt>
                <c:pt idx="35">
                  <c:v>8.6999999999999993</c:v>
                </c:pt>
                <c:pt idx="36">
                  <c:v>8.6</c:v>
                </c:pt>
                <c:pt idx="37">
                  <c:v>8.3000000000000007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4E2-4D55-8CCF-AAE80C2D8C35}"/>
            </c:ext>
          </c:extLst>
        </c:ser>
        <c:ser>
          <c:idx val="4"/>
          <c:order val="5"/>
          <c:tx>
            <c:strRef>
              <c:f>'Graf 38+39'!$H$10</c:f>
              <c:strCache>
                <c:ptCount val="1"/>
                <c:pt idx="0">
                  <c:v>EÚ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38+39'!$M$10:$AX$10</c:f>
              <c:numCache>
                <c:formatCode>#\ ##0.0</c:formatCode>
                <c:ptCount val="38"/>
                <c:pt idx="0">
                  <c:v>8.3000000000000007</c:v>
                </c:pt>
                <c:pt idx="1">
                  <c:v>8.9</c:v>
                </c:pt>
                <c:pt idx="2">
                  <c:v>9.1999999999999993</c:v>
                </c:pt>
                <c:pt idx="3">
                  <c:v>9.4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</c:v>
                </c:pt>
                <c:pt idx="7">
                  <c:v>9.6</c:v>
                </c:pt>
                <c:pt idx="8">
                  <c:v>9.5</c:v>
                </c:pt>
                <c:pt idx="9">
                  <c:v>9.5</c:v>
                </c:pt>
                <c:pt idx="10">
                  <c:v>9.6999999999999993</c:v>
                </c:pt>
                <c:pt idx="11">
                  <c:v>10</c:v>
                </c:pt>
                <c:pt idx="12">
                  <c:v>10.199999999999999</c:v>
                </c:pt>
                <c:pt idx="13">
                  <c:v>10.4</c:v>
                </c:pt>
                <c:pt idx="14">
                  <c:v>10.6</c:v>
                </c:pt>
                <c:pt idx="15">
                  <c:v>10.8</c:v>
                </c:pt>
                <c:pt idx="16">
                  <c:v>11</c:v>
                </c:pt>
                <c:pt idx="17">
                  <c:v>11</c:v>
                </c:pt>
                <c:pt idx="18">
                  <c:v>10.9</c:v>
                </c:pt>
                <c:pt idx="19">
                  <c:v>10.7</c:v>
                </c:pt>
                <c:pt idx="20">
                  <c:v>10.6</c:v>
                </c:pt>
                <c:pt idx="21">
                  <c:v>10.3</c:v>
                </c:pt>
                <c:pt idx="22">
                  <c:v>10.1</c:v>
                </c:pt>
                <c:pt idx="23">
                  <c:v>10</c:v>
                </c:pt>
                <c:pt idx="24">
                  <c:v>9.8000000000000007</c:v>
                </c:pt>
                <c:pt idx="25">
                  <c:v>9.6</c:v>
                </c:pt>
                <c:pt idx="26">
                  <c:v>9.3000000000000007</c:v>
                </c:pt>
                <c:pt idx="27">
                  <c:v>9</c:v>
                </c:pt>
                <c:pt idx="28">
                  <c:v>8.8000000000000007</c:v>
                </c:pt>
                <c:pt idx="29">
                  <c:v>8.6999999999999993</c:v>
                </c:pt>
                <c:pt idx="30">
                  <c:v>8.5</c:v>
                </c:pt>
                <c:pt idx="31">
                  <c:v>8.1999999999999993</c:v>
                </c:pt>
                <c:pt idx="32">
                  <c:v>8</c:v>
                </c:pt>
                <c:pt idx="33">
                  <c:v>7.7</c:v>
                </c:pt>
                <c:pt idx="34">
                  <c:v>7.5</c:v>
                </c:pt>
                <c:pt idx="35">
                  <c:v>7.3</c:v>
                </c:pt>
                <c:pt idx="36">
                  <c:v>7.1</c:v>
                </c:pt>
                <c:pt idx="37">
                  <c:v>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4E2-4D55-8CCF-AAE80C2D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995624"/>
        <c:axId val="923996016"/>
      </c:lineChart>
      <c:catAx>
        <c:axId val="923995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 cmpd="sng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9239960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23996016"/>
        <c:scaling>
          <c:orientation val="minMax"/>
          <c:min val="2"/>
        </c:scaling>
        <c:delete val="0"/>
        <c:axPos val="l"/>
        <c:majorGridlines>
          <c:spPr>
            <a:ln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 cmpd="sng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2399562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6744967075381749E-2"/>
          <c:y val="6.1414588801399807E-3"/>
          <c:w val="0.90172142795219057"/>
          <c:h val="0.12197643263342083"/>
        </c:manualLayout>
      </c:layout>
      <c:overlay val="1"/>
      <c:spPr>
        <a:solidFill>
          <a:sysClr val="window" lastClr="FFFFFF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209341887819573E-2"/>
          <c:y val="4.2759961127308101E-2"/>
          <c:w val="0.89673722177659176"/>
          <c:h val="0.87780149903942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38+39'!$I$13</c:f>
              <c:strCache>
                <c:ptCount val="1"/>
                <c:pt idx="0">
                  <c:v>1Q 2017 - ľavá os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38+39'!$H$14:$H$18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38+39'!$I$14:$I$18</c:f>
              <c:numCache>
                <c:formatCode>0.00</c:formatCode>
                <c:ptCount val="5"/>
                <c:pt idx="0">
                  <c:v>5.4</c:v>
                </c:pt>
                <c:pt idx="1">
                  <c:v>1.3</c:v>
                </c:pt>
                <c:pt idx="2">
                  <c:v>1.9</c:v>
                </c:pt>
                <c:pt idx="3">
                  <c:v>1.6</c:v>
                </c:pt>
                <c:pt idx="4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D-40E3-A9F7-D8508E27052D}"/>
            </c:ext>
          </c:extLst>
        </c:ser>
        <c:ser>
          <c:idx val="2"/>
          <c:order val="1"/>
          <c:tx>
            <c:strRef>
              <c:f>'Graf 38+39'!$J$13</c:f>
              <c:strCache>
                <c:ptCount val="1"/>
                <c:pt idx="0">
                  <c:v>1Q 2018 - ľavá os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strRef>
              <c:f>'Graf 38+39'!$H$14:$H$18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38+39'!$J$14:$J$18</c:f>
              <c:numCache>
                <c:formatCode>0.00</c:formatCode>
                <c:ptCount val="5"/>
                <c:pt idx="0">
                  <c:v>4.4000000000000004</c:v>
                </c:pt>
                <c:pt idx="1">
                  <c:v>0.8</c:v>
                </c:pt>
                <c:pt idx="2">
                  <c:v>1.6</c:v>
                </c:pt>
                <c:pt idx="3">
                  <c:v>1.1000000000000001</c:v>
                </c:pt>
                <c:pt idx="4">
                  <c:v>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D-40E3-A9F7-D8508E27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996800"/>
        <c:axId val="923997192"/>
      </c:barChart>
      <c:lineChart>
        <c:grouping val="standard"/>
        <c:varyColors val="0"/>
        <c:ser>
          <c:idx val="1"/>
          <c:order val="2"/>
          <c:tx>
            <c:strRef>
              <c:f>'Graf 38+39'!$H$20</c:f>
              <c:strCache>
                <c:ptCount val="1"/>
                <c:pt idx="0">
                  <c:v>% podiel na celk. miere nezamestnanosti (1Q 2017)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333F50"/>
              </a:solidFill>
              <a:ln>
                <a:solidFill>
                  <a:srgbClr val="333F50"/>
                </a:solidFill>
              </a:ln>
            </c:spPr>
          </c:marker>
          <c:cat>
            <c:strRef>
              <c:f>'Graf 38+39'!$H$14:$H$18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38+39'!$K$14:$K$18</c:f>
              <c:numCache>
                <c:formatCode>0.00</c:formatCode>
                <c:ptCount val="5"/>
                <c:pt idx="0">
                  <c:v>62</c:v>
                </c:pt>
                <c:pt idx="1">
                  <c:v>37.1</c:v>
                </c:pt>
                <c:pt idx="2">
                  <c:v>42.9</c:v>
                </c:pt>
                <c:pt idx="3">
                  <c:v>29.6</c:v>
                </c:pt>
                <c:pt idx="4">
                  <c:v>44.6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D-40E3-A9F7-D8508E27052D}"/>
            </c:ext>
          </c:extLst>
        </c:ser>
        <c:ser>
          <c:idx val="3"/>
          <c:order val="3"/>
          <c:tx>
            <c:strRef>
              <c:f>'Graf 38+39'!$H$21</c:f>
              <c:strCache>
                <c:ptCount val="1"/>
                <c:pt idx="0">
                  <c:v>% podiel na celk. miere nezamestnanosti (1Q 2018)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cat>
            <c:strRef>
              <c:f>'Graf 38+39'!$H$14:$H$18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38+39'!$L$14:$L$18</c:f>
              <c:numCache>
                <c:formatCode>0.00</c:formatCode>
                <c:ptCount val="5"/>
                <c:pt idx="0">
                  <c:v>62.2</c:v>
                </c:pt>
                <c:pt idx="1">
                  <c:v>31.8</c:v>
                </c:pt>
                <c:pt idx="2">
                  <c:v>40.700000000000003</c:v>
                </c:pt>
                <c:pt idx="3">
                  <c:v>26.6</c:v>
                </c:pt>
                <c:pt idx="4">
                  <c:v>42.9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31D-40E3-A9F7-D8508E27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97584"/>
        <c:axId val="923997976"/>
      </c:lineChart>
      <c:catAx>
        <c:axId val="9239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3997192"/>
        <c:crosses val="autoZero"/>
        <c:auto val="1"/>
        <c:lblAlgn val="ctr"/>
        <c:lblOffset val="100"/>
        <c:noMultiLvlLbl val="0"/>
      </c:catAx>
      <c:valAx>
        <c:axId val="923997192"/>
        <c:scaling>
          <c:orientation val="minMax"/>
        </c:scaling>
        <c:delete val="0"/>
        <c:axPos val="l"/>
        <c:majorGridlines>
          <c:spPr>
            <a:ln>
              <a:noFill/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923996800"/>
        <c:crosses val="autoZero"/>
        <c:crossBetween val="between"/>
      </c:valAx>
      <c:catAx>
        <c:axId val="92399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997976"/>
        <c:crosses val="autoZero"/>
        <c:auto val="1"/>
        <c:lblAlgn val="ctr"/>
        <c:lblOffset val="100"/>
        <c:noMultiLvlLbl val="0"/>
      </c:catAx>
      <c:valAx>
        <c:axId val="92399797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9239975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4843584551931008"/>
          <c:y val="1.6241066020593581E-2"/>
          <c:w val="0.79431301087364081"/>
          <c:h val="0.27399919165948411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9963450844872994"/>
          <c:h val="0.71673313563077357"/>
        </c:manualLayout>
      </c:layout>
      <c:lineChart>
        <c:grouping val="standard"/>
        <c:varyColors val="0"/>
        <c:ser>
          <c:idx val="3"/>
          <c:order val="0"/>
          <c:tx>
            <c:strRef>
              <c:f>'Graf 38+39'!$H$27</c:f>
              <c:strCache>
                <c:ptCount val="1"/>
                <c:pt idx="0">
                  <c:v>SK</c:v>
                </c:pt>
              </c:strCache>
            </c:strRef>
          </c:tx>
          <c:spPr>
            <a:ln w="22225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38+39'!$M$27:$AX$27</c:f>
              <c:numCache>
                <c:formatCode>General</c:formatCode>
                <c:ptCount val="38"/>
                <c:pt idx="0">
                  <c:v>10.199999999999999</c:v>
                </c:pt>
                <c:pt idx="1">
                  <c:v>11.4</c:v>
                </c:pt>
                <c:pt idx="2">
                  <c:v>12.8</c:v>
                </c:pt>
                <c:pt idx="3">
                  <c:v>14.1</c:v>
                </c:pt>
                <c:pt idx="4">
                  <c:v>14.9</c:v>
                </c:pt>
                <c:pt idx="5">
                  <c:v>14.7</c:v>
                </c:pt>
                <c:pt idx="6">
                  <c:v>14.3</c:v>
                </c:pt>
                <c:pt idx="7">
                  <c:v>13.9</c:v>
                </c:pt>
                <c:pt idx="8">
                  <c:v>13.8</c:v>
                </c:pt>
                <c:pt idx="9">
                  <c:v>13.7</c:v>
                </c:pt>
                <c:pt idx="10">
                  <c:v>13.6</c:v>
                </c:pt>
                <c:pt idx="11">
                  <c:v>13.7</c:v>
                </c:pt>
                <c:pt idx="12">
                  <c:v>13.8</c:v>
                </c:pt>
                <c:pt idx="13">
                  <c:v>13.9</c:v>
                </c:pt>
                <c:pt idx="14">
                  <c:v>14</c:v>
                </c:pt>
                <c:pt idx="15">
                  <c:v>14.3</c:v>
                </c:pt>
                <c:pt idx="16">
                  <c:v>14.3</c:v>
                </c:pt>
                <c:pt idx="17">
                  <c:v>14.3</c:v>
                </c:pt>
                <c:pt idx="18">
                  <c:v>14.2</c:v>
                </c:pt>
                <c:pt idx="19">
                  <c:v>14.1</c:v>
                </c:pt>
                <c:pt idx="20">
                  <c:v>13.9</c:v>
                </c:pt>
                <c:pt idx="21">
                  <c:v>13.5</c:v>
                </c:pt>
                <c:pt idx="22">
                  <c:v>13</c:v>
                </c:pt>
                <c:pt idx="23">
                  <c:v>12.5</c:v>
                </c:pt>
                <c:pt idx="24">
                  <c:v>12.2</c:v>
                </c:pt>
                <c:pt idx="25">
                  <c:v>11.6</c:v>
                </c:pt>
                <c:pt idx="26">
                  <c:v>11.3</c:v>
                </c:pt>
                <c:pt idx="27">
                  <c:v>10.8</c:v>
                </c:pt>
                <c:pt idx="28">
                  <c:v>10.4</c:v>
                </c:pt>
                <c:pt idx="29">
                  <c:v>9.8000000000000007</c:v>
                </c:pt>
                <c:pt idx="30">
                  <c:v>9.5</c:v>
                </c:pt>
                <c:pt idx="31">
                  <c:v>9</c:v>
                </c:pt>
                <c:pt idx="32">
                  <c:v>8.6999999999999993</c:v>
                </c:pt>
                <c:pt idx="33">
                  <c:v>8.3000000000000007</c:v>
                </c:pt>
                <c:pt idx="34">
                  <c:v>7.9</c:v>
                </c:pt>
                <c:pt idx="35">
                  <c:v>7.6</c:v>
                </c:pt>
                <c:pt idx="36">
                  <c:v>7.1</c:v>
                </c:pt>
                <c:pt idx="37">
                  <c:v>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E2-4D55-8CCF-AAE80C2D8C35}"/>
            </c:ext>
          </c:extLst>
        </c:ser>
        <c:ser>
          <c:idx val="5"/>
          <c:order val="1"/>
          <c:tx>
            <c:strRef>
              <c:f>'Graf 38+39'!$H$28</c:f>
              <c:strCache>
                <c:ptCount val="1"/>
                <c:pt idx="0">
                  <c:v>CZ</c:v>
                </c:pt>
              </c:strCache>
            </c:strRef>
          </c:tx>
          <c:spPr>
            <a:ln w="22225">
              <a:solidFill>
                <a:srgbClr val="333F50"/>
              </a:solidFill>
              <a:prstDash val="dash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38+39'!$M$28:$AX$28</c:f>
              <c:numCache>
                <c:formatCode>General</c:formatCode>
                <c:ptCount val="38"/>
                <c:pt idx="0">
                  <c:v>5.6</c:v>
                </c:pt>
                <c:pt idx="1">
                  <c:v>6.5</c:v>
                </c:pt>
                <c:pt idx="2">
                  <c:v>7.3</c:v>
                </c:pt>
                <c:pt idx="3">
                  <c:v>7.4</c:v>
                </c:pt>
                <c:pt idx="4">
                  <c:v>7.7</c:v>
                </c:pt>
                <c:pt idx="5">
                  <c:v>7.3</c:v>
                </c:pt>
                <c:pt idx="6">
                  <c:v>7.1</c:v>
                </c:pt>
                <c:pt idx="7">
                  <c:v>7</c:v>
                </c:pt>
                <c:pt idx="8">
                  <c:v>6.9</c:v>
                </c:pt>
                <c:pt idx="9">
                  <c:v>6.9</c:v>
                </c:pt>
                <c:pt idx="10">
                  <c:v>6.6</c:v>
                </c:pt>
                <c:pt idx="11">
                  <c:v>6.5</c:v>
                </c:pt>
                <c:pt idx="12">
                  <c:v>6.8</c:v>
                </c:pt>
                <c:pt idx="13">
                  <c:v>6.9</c:v>
                </c:pt>
                <c:pt idx="14">
                  <c:v>7</c:v>
                </c:pt>
                <c:pt idx="15">
                  <c:v>7.2</c:v>
                </c:pt>
                <c:pt idx="16">
                  <c:v>7.2</c:v>
                </c:pt>
                <c:pt idx="17">
                  <c:v>7</c:v>
                </c:pt>
                <c:pt idx="18">
                  <c:v>6.9</c:v>
                </c:pt>
                <c:pt idx="19">
                  <c:v>6.8</c:v>
                </c:pt>
                <c:pt idx="20">
                  <c:v>6.5</c:v>
                </c:pt>
                <c:pt idx="21">
                  <c:v>6.2</c:v>
                </c:pt>
                <c:pt idx="22">
                  <c:v>5.9</c:v>
                </c:pt>
                <c:pt idx="23">
                  <c:v>5.8</c:v>
                </c:pt>
                <c:pt idx="24">
                  <c:v>5.8</c:v>
                </c:pt>
                <c:pt idx="25">
                  <c:v>5.2</c:v>
                </c:pt>
                <c:pt idx="26">
                  <c:v>4.8</c:v>
                </c:pt>
                <c:pt idx="27">
                  <c:v>4.5</c:v>
                </c:pt>
                <c:pt idx="28">
                  <c:v>4.2</c:v>
                </c:pt>
                <c:pt idx="29">
                  <c:v>4.0999999999999996</c:v>
                </c:pt>
                <c:pt idx="30">
                  <c:v>3.9</c:v>
                </c:pt>
                <c:pt idx="31">
                  <c:v>3.6</c:v>
                </c:pt>
                <c:pt idx="32">
                  <c:v>3.3</c:v>
                </c:pt>
                <c:pt idx="33">
                  <c:v>3.1</c:v>
                </c:pt>
                <c:pt idx="34">
                  <c:v>2.7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E2-4D55-8CCF-AAE80C2D8C35}"/>
            </c:ext>
          </c:extLst>
        </c:ser>
        <c:ser>
          <c:idx val="0"/>
          <c:order val="2"/>
          <c:tx>
            <c:strRef>
              <c:f>'Graf 38+39'!$H$29</c:f>
              <c:strCache>
                <c:ptCount val="1"/>
                <c:pt idx="0">
                  <c:v>HU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38+39'!$M$29:$AX$29</c:f>
              <c:numCache>
                <c:formatCode>General</c:formatCode>
                <c:ptCount val="38"/>
                <c:pt idx="0">
                  <c:v>9.1999999999999993</c:v>
                </c:pt>
                <c:pt idx="1">
                  <c:v>9.8000000000000007</c:v>
                </c:pt>
                <c:pt idx="2">
                  <c:v>10.4</c:v>
                </c:pt>
                <c:pt idx="3">
                  <c:v>10.7</c:v>
                </c:pt>
                <c:pt idx="4">
                  <c:v>11.2</c:v>
                </c:pt>
                <c:pt idx="5">
                  <c:v>11.3</c:v>
                </c:pt>
                <c:pt idx="6">
                  <c:v>11.1</c:v>
                </c:pt>
                <c:pt idx="7">
                  <c:v>11.1</c:v>
                </c:pt>
                <c:pt idx="8">
                  <c:v>11.2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11.3</c:v>
                </c:pt>
                <c:pt idx="13">
                  <c:v>11.1</c:v>
                </c:pt>
                <c:pt idx="14">
                  <c:v>10.7</c:v>
                </c:pt>
                <c:pt idx="15">
                  <c:v>10.9</c:v>
                </c:pt>
                <c:pt idx="16">
                  <c:v>10.9</c:v>
                </c:pt>
                <c:pt idx="17">
                  <c:v>10.3</c:v>
                </c:pt>
                <c:pt idx="18">
                  <c:v>10</c:v>
                </c:pt>
                <c:pt idx="19">
                  <c:v>9.1999999999999993</c:v>
                </c:pt>
                <c:pt idx="20">
                  <c:v>7.9</c:v>
                </c:pt>
                <c:pt idx="21">
                  <c:v>8.1</c:v>
                </c:pt>
                <c:pt idx="22">
                  <c:v>7.5</c:v>
                </c:pt>
                <c:pt idx="23">
                  <c:v>7.3</c:v>
                </c:pt>
                <c:pt idx="24">
                  <c:v>7.4</c:v>
                </c:pt>
                <c:pt idx="25">
                  <c:v>7</c:v>
                </c:pt>
                <c:pt idx="26">
                  <c:v>6.6</c:v>
                </c:pt>
                <c:pt idx="27">
                  <c:v>6.3</c:v>
                </c:pt>
                <c:pt idx="28">
                  <c:v>5.7</c:v>
                </c:pt>
                <c:pt idx="29">
                  <c:v>5.2</c:v>
                </c:pt>
                <c:pt idx="30">
                  <c:v>4.9000000000000004</c:v>
                </c:pt>
                <c:pt idx="31">
                  <c:v>4.5</c:v>
                </c:pt>
                <c:pt idx="32">
                  <c:v>4.3</c:v>
                </c:pt>
                <c:pt idx="33">
                  <c:v>4.3</c:v>
                </c:pt>
                <c:pt idx="34">
                  <c:v>4.0999999999999996</c:v>
                </c:pt>
                <c:pt idx="35">
                  <c:v>3.9</c:v>
                </c:pt>
                <c:pt idx="36">
                  <c:v>3.7</c:v>
                </c:pt>
                <c:pt idx="37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E2-4D55-8CCF-AAE80C2D8C35}"/>
            </c:ext>
          </c:extLst>
        </c:ser>
        <c:ser>
          <c:idx val="1"/>
          <c:order val="3"/>
          <c:tx>
            <c:strRef>
              <c:f>'Graf 38+39'!$H$30</c:f>
              <c:strCache>
                <c:ptCount val="1"/>
                <c:pt idx="0">
                  <c:v>PL</c:v>
                </c:pt>
              </c:strCache>
            </c:strRef>
          </c:tx>
          <c:spPr>
            <a:ln w="22225">
              <a:solidFill>
                <a:srgbClr val="AAD3F2"/>
              </a:solidFill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38+39'!$M$30:$AX$30</c:f>
              <c:numCache>
                <c:formatCode>General</c:formatCode>
                <c:ptCount val="38"/>
                <c:pt idx="0">
                  <c:v>7.6</c:v>
                </c:pt>
                <c:pt idx="1">
                  <c:v>7.9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</c:v>
                </c:pt>
                <c:pt idx="7">
                  <c:v>9.5</c:v>
                </c:pt>
                <c:pt idx="8">
                  <c:v>9.4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9.9</c:v>
                </c:pt>
                <c:pt idx="12">
                  <c:v>9.9</c:v>
                </c:pt>
                <c:pt idx="13">
                  <c:v>10</c:v>
                </c:pt>
                <c:pt idx="14">
                  <c:v>10.3</c:v>
                </c:pt>
                <c:pt idx="15">
                  <c:v>10.4</c:v>
                </c:pt>
                <c:pt idx="16">
                  <c:v>10.5</c:v>
                </c:pt>
                <c:pt idx="17">
                  <c:v>10.5</c:v>
                </c:pt>
                <c:pt idx="18">
                  <c:v>10.3</c:v>
                </c:pt>
                <c:pt idx="19">
                  <c:v>10.1</c:v>
                </c:pt>
                <c:pt idx="20">
                  <c:v>9.8000000000000007</c:v>
                </c:pt>
                <c:pt idx="21">
                  <c:v>9.1999999999999993</c:v>
                </c:pt>
                <c:pt idx="22">
                  <c:v>8.6</c:v>
                </c:pt>
                <c:pt idx="23">
                  <c:v>8.3000000000000007</c:v>
                </c:pt>
                <c:pt idx="24">
                  <c:v>8</c:v>
                </c:pt>
                <c:pt idx="25">
                  <c:v>7.6</c:v>
                </c:pt>
                <c:pt idx="26">
                  <c:v>7.3</c:v>
                </c:pt>
                <c:pt idx="27">
                  <c:v>7</c:v>
                </c:pt>
                <c:pt idx="28">
                  <c:v>6.7</c:v>
                </c:pt>
                <c:pt idx="29">
                  <c:v>6.3</c:v>
                </c:pt>
                <c:pt idx="30">
                  <c:v>6</c:v>
                </c:pt>
                <c:pt idx="31">
                  <c:v>5.6</c:v>
                </c:pt>
                <c:pt idx="32">
                  <c:v>5.3</c:v>
                </c:pt>
                <c:pt idx="33">
                  <c:v>5.0999999999999996</c:v>
                </c:pt>
                <c:pt idx="34">
                  <c:v>4.8</c:v>
                </c:pt>
                <c:pt idx="35">
                  <c:v>4.5</c:v>
                </c:pt>
                <c:pt idx="36">
                  <c:v>4</c:v>
                </c:pt>
                <c:pt idx="37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4E2-4D55-8CCF-AAE80C2D8C35}"/>
            </c:ext>
          </c:extLst>
        </c:ser>
        <c:ser>
          <c:idx val="2"/>
          <c:order val="4"/>
          <c:tx>
            <c:strRef>
              <c:f>'Graf 38+39'!$H$31</c:f>
              <c:strCache>
                <c:ptCount val="1"/>
                <c:pt idx="0">
                  <c:v>EZ</c:v>
                </c:pt>
              </c:strCache>
            </c:strRef>
          </c:tx>
          <c:spPr>
            <a:ln w="2222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38+39'!$M$31:$AX$31</c:f>
              <c:numCache>
                <c:formatCode>General</c:formatCode>
                <c:ptCount val="38"/>
                <c:pt idx="0">
                  <c:v>9</c:v>
                </c:pt>
                <c:pt idx="1">
                  <c:v>9.6</c:v>
                </c:pt>
                <c:pt idx="2">
                  <c:v>9.9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</c:v>
                </c:pt>
                <c:pt idx="9">
                  <c:v>10</c:v>
                </c:pt>
                <c:pt idx="10">
                  <c:v>10.3</c:v>
                </c:pt>
                <c:pt idx="11">
                  <c:v>10.6</c:v>
                </c:pt>
                <c:pt idx="12">
                  <c:v>10.9</c:v>
                </c:pt>
                <c:pt idx="13">
                  <c:v>11.3</c:v>
                </c:pt>
                <c:pt idx="14">
                  <c:v>11.5</c:v>
                </c:pt>
                <c:pt idx="15">
                  <c:v>11.8</c:v>
                </c:pt>
                <c:pt idx="16">
                  <c:v>12</c:v>
                </c:pt>
                <c:pt idx="17">
                  <c:v>12.1</c:v>
                </c:pt>
                <c:pt idx="18">
                  <c:v>12</c:v>
                </c:pt>
                <c:pt idx="19">
                  <c:v>11.9</c:v>
                </c:pt>
                <c:pt idx="20">
                  <c:v>11.9</c:v>
                </c:pt>
                <c:pt idx="21">
                  <c:v>11.6</c:v>
                </c:pt>
                <c:pt idx="22">
                  <c:v>11.5</c:v>
                </c:pt>
                <c:pt idx="23">
                  <c:v>11.5</c:v>
                </c:pt>
                <c:pt idx="24">
                  <c:v>11.2</c:v>
                </c:pt>
                <c:pt idx="25">
                  <c:v>11</c:v>
                </c:pt>
                <c:pt idx="26">
                  <c:v>10.7</c:v>
                </c:pt>
                <c:pt idx="27">
                  <c:v>10.5</c:v>
                </c:pt>
                <c:pt idx="28">
                  <c:v>10.3</c:v>
                </c:pt>
                <c:pt idx="29">
                  <c:v>10.199999999999999</c:v>
                </c:pt>
                <c:pt idx="30">
                  <c:v>9.9</c:v>
                </c:pt>
                <c:pt idx="31">
                  <c:v>9.6999999999999993</c:v>
                </c:pt>
                <c:pt idx="32">
                  <c:v>9.5</c:v>
                </c:pt>
                <c:pt idx="33">
                  <c:v>9.1</c:v>
                </c:pt>
                <c:pt idx="34">
                  <c:v>9</c:v>
                </c:pt>
                <c:pt idx="35">
                  <c:v>8.6999999999999993</c:v>
                </c:pt>
                <c:pt idx="36">
                  <c:v>8.6</c:v>
                </c:pt>
                <c:pt idx="37">
                  <c:v>8.3000000000000007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4E2-4D55-8CCF-AAE80C2D8C35}"/>
            </c:ext>
          </c:extLst>
        </c:ser>
        <c:ser>
          <c:idx val="4"/>
          <c:order val="5"/>
          <c:tx>
            <c:strRef>
              <c:f>'Graf 38+39'!$H$32</c:f>
              <c:strCache>
                <c:ptCount val="1"/>
                <c:pt idx="0">
                  <c:v>EU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38+39'!$M$4:$AX$4</c:f>
              <c:strCache>
                <c:ptCount val="38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</c:strCache>
            </c:strRef>
          </c:cat>
          <c:val>
            <c:numRef>
              <c:f>'Graf 38+39'!$M$32:$AX$32</c:f>
              <c:numCache>
                <c:formatCode>#\ ##0.0</c:formatCode>
                <c:ptCount val="38"/>
                <c:pt idx="0">
                  <c:v>8.3000000000000007</c:v>
                </c:pt>
                <c:pt idx="1">
                  <c:v>8.9</c:v>
                </c:pt>
                <c:pt idx="2">
                  <c:v>9.1999999999999993</c:v>
                </c:pt>
                <c:pt idx="3">
                  <c:v>9.4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9.6</c:v>
                </c:pt>
                <c:pt idx="7">
                  <c:v>9.6</c:v>
                </c:pt>
                <c:pt idx="8">
                  <c:v>9.5</c:v>
                </c:pt>
                <c:pt idx="9">
                  <c:v>9.5</c:v>
                </c:pt>
                <c:pt idx="10">
                  <c:v>9.6999999999999993</c:v>
                </c:pt>
                <c:pt idx="11">
                  <c:v>10</c:v>
                </c:pt>
                <c:pt idx="12">
                  <c:v>10.199999999999999</c:v>
                </c:pt>
                <c:pt idx="13">
                  <c:v>10.4</c:v>
                </c:pt>
                <c:pt idx="14">
                  <c:v>10.6</c:v>
                </c:pt>
                <c:pt idx="15">
                  <c:v>10.8</c:v>
                </c:pt>
                <c:pt idx="16">
                  <c:v>11</c:v>
                </c:pt>
                <c:pt idx="17">
                  <c:v>11</c:v>
                </c:pt>
                <c:pt idx="18">
                  <c:v>10.9</c:v>
                </c:pt>
                <c:pt idx="19">
                  <c:v>10.7</c:v>
                </c:pt>
                <c:pt idx="20">
                  <c:v>10.6</c:v>
                </c:pt>
                <c:pt idx="21">
                  <c:v>10.3</c:v>
                </c:pt>
                <c:pt idx="22">
                  <c:v>10.1</c:v>
                </c:pt>
                <c:pt idx="23">
                  <c:v>10</c:v>
                </c:pt>
                <c:pt idx="24">
                  <c:v>9.8000000000000007</c:v>
                </c:pt>
                <c:pt idx="25">
                  <c:v>9.6</c:v>
                </c:pt>
                <c:pt idx="26">
                  <c:v>9.3000000000000007</c:v>
                </c:pt>
                <c:pt idx="27">
                  <c:v>9</c:v>
                </c:pt>
                <c:pt idx="28">
                  <c:v>8.8000000000000007</c:v>
                </c:pt>
                <c:pt idx="29">
                  <c:v>8.6999999999999993</c:v>
                </c:pt>
                <c:pt idx="30">
                  <c:v>8.5</c:v>
                </c:pt>
                <c:pt idx="31">
                  <c:v>8.1999999999999993</c:v>
                </c:pt>
                <c:pt idx="32">
                  <c:v>8</c:v>
                </c:pt>
                <c:pt idx="33">
                  <c:v>7.7</c:v>
                </c:pt>
                <c:pt idx="34">
                  <c:v>7.5</c:v>
                </c:pt>
                <c:pt idx="35">
                  <c:v>7.3</c:v>
                </c:pt>
                <c:pt idx="36">
                  <c:v>7.1</c:v>
                </c:pt>
                <c:pt idx="37">
                  <c:v>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4E2-4D55-8CCF-AAE80C2D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998760"/>
        <c:axId val="936407128"/>
      </c:lineChart>
      <c:catAx>
        <c:axId val="923998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 cmpd="sng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9364071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36407128"/>
        <c:scaling>
          <c:orientation val="minMax"/>
          <c:min val="2"/>
        </c:scaling>
        <c:delete val="0"/>
        <c:axPos val="l"/>
        <c:majorGridlines>
          <c:spPr>
            <a:ln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 cmpd="sng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9239987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6744967075381749E-2"/>
          <c:y val="6.1414588801399807E-3"/>
          <c:w val="0.90172142795219057"/>
          <c:h val="0.12197643263342083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209341887819573E-2"/>
          <c:y val="4.2759961127308101E-2"/>
          <c:w val="0.89673722177659176"/>
          <c:h val="0.87780149903942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38+39'!$I$35</c:f>
              <c:strCache>
                <c:ptCount val="1"/>
                <c:pt idx="0">
                  <c:v>1Q 2017 - left axis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38+39'!$H$36:$H$40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EU</c:v>
                </c:pt>
              </c:strCache>
            </c:strRef>
          </c:cat>
          <c:val>
            <c:numRef>
              <c:f>'Graf 38+39'!$I$36:$I$40</c:f>
              <c:numCache>
                <c:formatCode>0.00</c:formatCode>
                <c:ptCount val="5"/>
                <c:pt idx="0">
                  <c:v>5.4</c:v>
                </c:pt>
                <c:pt idx="1">
                  <c:v>1.3</c:v>
                </c:pt>
                <c:pt idx="2">
                  <c:v>1.9</c:v>
                </c:pt>
                <c:pt idx="3">
                  <c:v>1.6</c:v>
                </c:pt>
                <c:pt idx="4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D-40E3-A9F7-D8508E27052D}"/>
            </c:ext>
          </c:extLst>
        </c:ser>
        <c:ser>
          <c:idx val="2"/>
          <c:order val="1"/>
          <c:tx>
            <c:strRef>
              <c:f>'Graf 38+39'!$J$35</c:f>
              <c:strCache>
                <c:ptCount val="1"/>
                <c:pt idx="0">
                  <c:v>1Q 2018 - left axis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strRef>
              <c:f>'Graf 38+39'!$H$36:$H$40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EU</c:v>
                </c:pt>
              </c:strCache>
            </c:strRef>
          </c:cat>
          <c:val>
            <c:numRef>
              <c:f>'Graf 38+39'!$J$36:$J$40</c:f>
              <c:numCache>
                <c:formatCode>0.00</c:formatCode>
                <c:ptCount val="5"/>
                <c:pt idx="0">
                  <c:v>4.4000000000000004</c:v>
                </c:pt>
                <c:pt idx="1">
                  <c:v>0.8</c:v>
                </c:pt>
                <c:pt idx="2">
                  <c:v>1.6</c:v>
                </c:pt>
                <c:pt idx="3">
                  <c:v>1.1000000000000001</c:v>
                </c:pt>
                <c:pt idx="4">
                  <c:v>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D-40E3-A9F7-D8508E27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407912"/>
        <c:axId val="936408304"/>
      </c:barChart>
      <c:lineChart>
        <c:grouping val="standard"/>
        <c:varyColors val="0"/>
        <c:ser>
          <c:idx val="1"/>
          <c:order val="2"/>
          <c:tx>
            <c:strRef>
              <c:f>'Graf 38+39'!$H$42</c:f>
              <c:strCache>
                <c:ptCount val="1"/>
                <c:pt idx="0">
                  <c:v>% share of total unemployment rate (1Q 2017)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333F50"/>
              </a:solidFill>
              <a:ln>
                <a:solidFill>
                  <a:srgbClr val="333F50"/>
                </a:solidFill>
              </a:ln>
            </c:spPr>
          </c:marker>
          <c:cat>
            <c:strRef>
              <c:f>'Graf 38+39'!$H$14:$H$18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38+39'!$K$36:$K$40</c:f>
              <c:numCache>
                <c:formatCode>0.00</c:formatCode>
                <c:ptCount val="5"/>
                <c:pt idx="0">
                  <c:v>62</c:v>
                </c:pt>
                <c:pt idx="1">
                  <c:v>37.1</c:v>
                </c:pt>
                <c:pt idx="2">
                  <c:v>42.9</c:v>
                </c:pt>
                <c:pt idx="3">
                  <c:v>29.6</c:v>
                </c:pt>
                <c:pt idx="4">
                  <c:v>44.6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D-40E3-A9F7-D8508E27052D}"/>
            </c:ext>
          </c:extLst>
        </c:ser>
        <c:ser>
          <c:idx val="3"/>
          <c:order val="3"/>
          <c:tx>
            <c:strRef>
              <c:f>'Graf 38+39'!$H$43</c:f>
              <c:strCache>
                <c:ptCount val="1"/>
                <c:pt idx="0">
                  <c:v>% share of total unemployment rate (1Q 2018)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cat>
            <c:strRef>
              <c:f>'Graf 38+39'!$H$14:$H$18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EÚ</c:v>
                </c:pt>
              </c:strCache>
            </c:strRef>
          </c:cat>
          <c:val>
            <c:numRef>
              <c:f>'Graf 38+39'!$L$36:$L$40</c:f>
              <c:numCache>
                <c:formatCode>0.00</c:formatCode>
                <c:ptCount val="5"/>
                <c:pt idx="0">
                  <c:v>62.2</c:v>
                </c:pt>
                <c:pt idx="1">
                  <c:v>31.8</c:v>
                </c:pt>
                <c:pt idx="2">
                  <c:v>40.700000000000003</c:v>
                </c:pt>
                <c:pt idx="3">
                  <c:v>26.6</c:v>
                </c:pt>
                <c:pt idx="4">
                  <c:v>42.9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31D-40E3-A9F7-D8508E27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08696"/>
        <c:axId val="936409088"/>
      </c:lineChart>
      <c:catAx>
        <c:axId val="93640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6408304"/>
        <c:crosses val="autoZero"/>
        <c:auto val="1"/>
        <c:lblAlgn val="ctr"/>
        <c:lblOffset val="100"/>
        <c:noMultiLvlLbl val="0"/>
      </c:catAx>
      <c:valAx>
        <c:axId val="936408304"/>
        <c:scaling>
          <c:orientation val="minMax"/>
        </c:scaling>
        <c:delete val="0"/>
        <c:axPos val="l"/>
        <c:majorGridlines>
          <c:spPr>
            <a:ln>
              <a:noFill/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936407912"/>
        <c:crosses val="autoZero"/>
        <c:crossBetween val="between"/>
      </c:valAx>
      <c:catAx>
        <c:axId val="936408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6409088"/>
        <c:crosses val="autoZero"/>
        <c:auto val="1"/>
        <c:lblAlgn val="ctr"/>
        <c:lblOffset val="100"/>
        <c:noMultiLvlLbl val="0"/>
      </c:catAx>
      <c:valAx>
        <c:axId val="93640908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9364086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4843584551931008"/>
          <c:y val="1.6241066020593581E-2"/>
          <c:w val="0.79431301087364081"/>
          <c:h val="0.27399919165948411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 + 4'!$K$18</c:f>
              <c:strCache>
                <c:ptCount val="1"/>
                <c:pt idx="0">
                  <c:v>private 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+ 4'!$L$18:$Q$18</c:f>
              <c:numCache>
                <c:formatCode>0.0</c:formatCode>
                <c:ptCount val="6"/>
                <c:pt idx="0">
                  <c:v>1.3963667951521868</c:v>
                </c:pt>
                <c:pt idx="1">
                  <c:v>1.8501930503102832</c:v>
                </c:pt>
                <c:pt idx="2">
                  <c:v>1.5161055236113135</c:v>
                </c:pt>
                <c:pt idx="3">
                  <c:v>1.6548814963483358</c:v>
                </c:pt>
                <c:pt idx="4">
                  <c:v>1.4273435216696402</c:v>
                </c:pt>
                <c:pt idx="5">
                  <c:v>1.2107592223791654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CE-4050-BFC1-1CA56F00344F}"/>
            </c:ext>
          </c:extLst>
        </c:ser>
        <c:ser>
          <c:idx val="2"/>
          <c:order val="2"/>
          <c:tx>
            <c:strRef>
              <c:f>'Graf 3 + 4'!$K$19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+ 4'!$L$19:$Q$19</c:f>
              <c:numCache>
                <c:formatCode>0.0</c:formatCode>
                <c:ptCount val="6"/>
                <c:pt idx="0">
                  <c:v>0.29698449927489645</c:v>
                </c:pt>
                <c:pt idx="1">
                  <c:v>4.3708406098439963E-2</c:v>
                </c:pt>
                <c:pt idx="2">
                  <c:v>0.31891811037680978</c:v>
                </c:pt>
                <c:pt idx="3">
                  <c:v>0.2615118210667573</c:v>
                </c:pt>
                <c:pt idx="4">
                  <c:v>0.28826526161742927</c:v>
                </c:pt>
                <c:pt idx="5">
                  <c:v>0.19847919087263702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CE-4050-BFC1-1CA56F00344F}"/>
            </c:ext>
          </c:extLst>
        </c:ser>
        <c:ser>
          <c:idx val="3"/>
          <c:order val="3"/>
          <c:tx>
            <c:strRef>
              <c:f>'Graf 3 + 4'!$K$20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+ 4'!$L$20:$Q$20</c:f>
              <c:numCache>
                <c:formatCode>0.0</c:formatCode>
                <c:ptCount val="6"/>
                <c:pt idx="0">
                  <c:v>-2.0173757423893468</c:v>
                </c:pt>
                <c:pt idx="1">
                  <c:v>0.69121935496180387</c:v>
                </c:pt>
                <c:pt idx="2">
                  <c:v>2.0707320065827712</c:v>
                </c:pt>
                <c:pt idx="3">
                  <c:v>0.70397639075956842</c:v>
                </c:pt>
                <c:pt idx="4">
                  <c:v>0.67959105934527186</c:v>
                </c:pt>
                <c:pt idx="5">
                  <c:v>0.66810708551263565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CE-4050-BFC1-1CA56F00344F}"/>
            </c:ext>
          </c:extLst>
        </c:ser>
        <c:ser>
          <c:idx val="4"/>
          <c:order val="4"/>
          <c:tx>
            <c:strRef>
              <c:f>'Graf 3 + 4'!$K$21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+ 4'!$L$21:$Q$21</c:f>
              <c:numCache>
                <c:formatCode>0.0</c:formatCode>
                <c:ptCount val="6"/>
                <c:pt idx="0">
                  <c:v>2.6191034962794695</c:v>
                </c:pt>
                <c:pt idx="1">
                  <c:v>0.64716301244011798</c:v>
                </c:pt>
                <c:pt idx="2">
                  <c:v>0.64495182217658253</c:v>
                </c:pt>
                <c:pt idx="3">
                  <c:v>1.7333830794355625</c:v>
                </c:pt>
                <c:pt idx="4">
                  <c:v>1.5186874846274931</c:v>
                </c:pt>
                <c:pt idx="5">
                  <c:v>1.2424721366319247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9CE-4050-BFC1-1CA56F00344F}"/>
            </c:ext>
          </c:extLst>
        </c:ser>
        <c:ser>
          <c:idx val="5"/>
          <c:order val="5"/>
          <c:tx>
            <c:strRef>
              <c:f>'Graf 3 + 4'!$K$22</c:f>
              <c:strCache>
                <c:ptCount val="1"/>
                <c:pt idx="0">
                  <c:v>inventories and stat. disc.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+ 4'!$L$22:$Q$22</c:f>
              <c:numCache>
                <c:formatCode>0.0</c:formatCode>
                <c:ptCount val="6"/>
                <c:pt idx="0">
                  <c:v>1.0296162476468202</c:v>
                </c:pt>
                <c:pt idx="1">
                  <c:v>0.16788248726920774</c:v>
                </c:pt>
                <c:pt idx="2">
                  <c:v>-0.47597089272443682</c:v>
                </c:pt>
                <c:pt idx="3">
                  <c:v>0.14575987447507099</c:v>
                </c:pt>
                <c:pt idx="4">
                  <c:v>1.0010400992777058E-3</c:v>
                </c:pt>
                <c:pt idx="5">
                  <c:v>5.460459511957616E-3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CE-4050-BFC1-1CA56F00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3847600"/>
        <c:axId val="823847992"/>
      </c:barChart>
      <c:lineChart>
        <c:grouping val="standard"/>
        <c:varyColors val="0"/>
        <c:ser>
          <c:idx val="0"/>
          <c:order val="0"/>
          <c:tx>
            <c:strRef>
              <c:f>'Graf 3 + 4'!$K$17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 + 4'!$L$16:$Q$16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3 + 4'!$L$17:$Q$17</c:f>
              <c:numCache>
                <c:formatCode>0.0</c:formatCode>
                <c:ptCount val="6"/>
                <c:pt idx="0">
                  <c:v>3.3246952959640259</c:v>
                </c:pt>
                <c:pt idx="1">
                  <c:v>3.400166311079853</c:v>
                </c:pt>
                <c:pt idx="2">
                  <c:v>4.07473657002304</c:v>
                </c:pt>
                <c:pt idx="3">
                  <c:v>4.4995126620852952</c:v>
                </c:pt>
                <c:pt idx="4">
                  <c:v>3.9148883673591124</c:v>
                </c:pt>
                <c:pt idx="5">
                  <c:v>3.3252780949083203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9CE-4050-BFC1-1CA56F00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847600"/>
        <c:axId val="823847992"/>
      </c:lineChart>
      <c:catAx>
        <c:axId val="82384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sk-SK"/>
          </a:p>
        </c:txPr>
        <c:crossAx val="823847992"/>
        <c:crosses val="autoZero"/>
        <c:auto val="1"/>
        <c:lblAlgn val="ctr"/>
        <c:lblOffset val="100"/>
        <c:noMultiLvlLbl val="0"/>
      </c:catAx>
      <c:valAx>
        <c:axId val="823847992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82384760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5 + 6'!$L$9</c:f>
              <c:strCache>
                <c:ptCount val="1"/>
                <c:pt idx="0">
                  <c:v>Verejná správa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+ 6'!$Q$9:$V$9</c:f>
              <c:numCache>
                <c:formatCode>0.0</c:formatCode>
                <c:ptCount val="6"/>
                <c:pt idx="0">
                  <c:v>0.25556912650848129</c:v>
                </c:pt>
                <c:pt idx="1">
                  <c:v>0.18327919832799822</c:v>
                </c:pt>
                <c:pt idx="2">
                  <c:v>0.23452252042528596</c:v>
                </c:pt>
                <c:pt idx="3">
                  <c:v>9.4797673850854247E-2</c:v>
                </c:pt>
                <c:pt idx="4">
                  <c:v>7.1782031369577254E-2</c:v>
                </c:pt>
                <c:pt idx="5">
                  <c:v>4.7086801322647469E-2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2-4EDD-B698-825ED83A0284}"/>
            </c:ext>
          </c:extLst>
        </c:ser>
        <c:ser>
          <c:idx val="2"/>
          <c:order val="2"/>
          <c:tx>
            <c:strRef>
              <c:f>'Graf 5 + 6'!$L$10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+ 6'!$Q$10:$V$10</c:f>
              <c:numCache>
                <c:formatCode>0.0</c:formatCode>
                <c:ptCount val="6"/>
                <c:pt idx="0">
                  <c:v>1.2378826314004245</c:v>
                </c:pt>
                <c:pt idx="1">
                  <c:v>1.0369018491208073</c:v>
                </c:pt>
                <c:pt idx="2">
                  <c:v>0.92769417972891255</c:v>
                </c:pt>
                <c:pt idx="3">
                  <c:v>0.62708933519355137</c:v>
                </c:pt>
                <c:pt idx="4">
                  <c:v>0.45486823018612416</c:v>
                </c:pt>
                <c:pt idx="5">
                  <c:v>0.37412472575381356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42-4EDD-B698-825ED83A0284}"/>
            </c:ext>
          </c:extLst>
        </c:ser>
        <c:ser>
          <c:idx val="3"/>
          <c:order val="3"/>
          <c:tx>
            <c:strRef>
              <c:f>'Graf 5 + 6'!$L$11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+ 6'!$Q$11:$V$11</c:f>
              <c:numCache>
                <c:formatCode>0.0</c:formatCode>
                <c:ptCount val="6"/>
                <c:pt idx="0">
                  <c:v>0.79052638682861953</c:v>
                </c:pt>
                <c:pt idx="1">
                  <c:v>0.93160463221586653</c:v>
                </c:pt>
                <c:pt idx="2">
                  <c:v>0.57096454653544648</c:v>
                </c:pt>
                <c:pt idx="3">
                  <c:v>0.34848170139601581</c:v>
                </c:pt>
                <c:pt idx="4">
                  <c:v>0.29441481253056695</c:v>
                </c:pt>
                <c:pt idx="5">
                  <c:v>0.22069144309403288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42-4EDD-B698-825ED83A0284}"/>
            </c:ext>
          </c:extLst>
        </c:ser>
        <c:ser>
          <c:idx val="4"/>
          <c:order val="4"/>
          <c:tx>
            <c:strRef>
              <c:f>'Graf 5 + 6'!$L$12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+ 6'!$Q$12:$V$12</c:f>
              <c:numCache>
                <c:formatCode>0.0</c:formatCode>
                <c:ptCount val="6"/>
                <c:pt idx="0">
                  <c:v>0.13153385144085269</c:v>
                </c:pt>
                <c:pt idx="1">
                  <c:v>0.1266668648529177</c:v>
                </c:pt>
                <c:pt idx="2">
                  <c:v>0.26569229248445175</c:v>
                </c:pt>
                <c:pt idx="3">
                  <c:v>0.11012006103751457</c:v>
                </c:pt>
                <c:pt idx="4">
                  <c:v>7.850803898380837E-2</c:v>
                </c:pt>
                <c:pt idx="5">
                  <c:v>5.3914422140074539E-2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42-4EDD-B698-825ED83A0284}"/>
            </c:ext>
          </c:extLst>
        </c:ser>
        <c:ser>
          <c:idx val="5"/>
          <c:order val="5"/>
          <c:tx>
            <c:strRef>
              <c:f>'Graf 5 + 6'!$L$13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+ 6'!$Q$13:$V$13</c:f>
              <c:numCache>
                <c:formatCode>0.0</c:formatCode>
                <c:ptCount val="6"/>
                <c:pt idx="0">
                  <c:v>-3.5728510954757917E-2</c:v>
                </c:pt>
                <c:pt idx="1">
                  <c:v>-7.225181372732789E-2</c:v>
                </c:pt>
                <c:pt idx="2">
                  <c:v>-2.002471487057042E-2</c:v>
                </c:pt>
                <c:pt idx="3">
                  <c:v>-4.0060839591732976E-2</c:v>
                </c:pt>
                <c:pt idx="4">
                  <c:v>-2.8372623341906315E-2</c:v>
                </c:pt>
                <c:pt idx="5">
                  <c:v>-2.7846300006459889E-2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F42-4EDD-B698-825ED83A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3848776"/>
        <c:axId val="823849168"/>
      </c:barChart>
      <c:lineChart>
        <c:grouping val="standard"/>
        <c:varyColors val="0"/>
        <c:ser>
          <c:idx val="0"/>
          <c:order val="0"/>
          <c:tx>
            <c:strRef>
              <c:f>'Graf 5 + 6'!$L$8</c:f>
              <c:strCache>
                <c:ptCount val="1"/>
                <c:pt idx="0">
                  <c:v>Zamestnanosť 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02681992337162E-2"/>
                  <c:y val="-8.707482993197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130268199233721E-2"/>
                  <c:y val="-3.8095238095238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1940845679504086E-2"/>
                  <c:y val="-6.782856463808523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9339809535302342E-2"/>
                  <c:y val="-5.0871498205581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453092788688771E-2"/>
                  <c:y val="-5.4842144731908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988887883267651E-2"/>
                  <c:y val="-6.23862017247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F42-4EDD-B698-825ED83A028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F42-4EDD-B698-825ED83A028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5 + 6'!$Q$7:$V$7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'Graf 5 + 6'!$Q$8:$V$8</c:f>
              <c:numCache>
                <c:formatCode>0.0</c:formatCode>
                <c:ptCount val="6"/>
                <c:pt idx="0">
                  <c:v>2.3797834852236246</c:v>
                </c:pt>
                <c:pt idx="1">
                  <c:v>2.2062007307902736</c:v>
                </c:pt>
                <c:pt idx="2">
                  <c:v>1.9788488243035269</c:v>
                </c:pt>
                <c:pt idx="3">
                  <c:v>1.1404279318862116</c:v>
                </c:pt>
                <c:pt idx="4">
                  <c:v>0.87120048972815833</c:v>
                </c:pt>
                <c:pt idx="5">
                  <c:v>0.66797109230411889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42-4EDD-B698-825ED83A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848776"/>
        <c:axId val="823849168"/>
      </c:lineChart>
      <c:catAx>
        <c:axId val="8238487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823849168"/>
        <c:crosses val="autoZero"/>
        <c:auto val="1"/>
        <c:lblAlgn val="ctr"/>
        <c:lblOffset val="100"/>
        <c:noMultiLvlLbl val="1"/>
      </c:catAx>
      <c:valAx>
        <c:axId val="823849168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23848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425500145815107"/>
          <c:y val="6.3739675721539435E-2"/>
          <c:w val="0.27761609798775155"/>
          <c:h val="0.32505110766416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'Obsah'!A1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hyperlink" Target="#'Obsah'!A1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hyperlink" Target="#'Obsah'!A1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Obsah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hyperlink" Target="#'Obsah'!A1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hyperlink" Target="#'Obsah'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hyperlink" Target="#'Obsah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hyperlink" Target="#'Obsah'!A1"/><Relationship Id="rId1" Type="http://schemas.openxmlformats.org/officeDocument/2006/relationships/chart" Target="../charts/chart4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chart" Target="../charts/chart47.xml"/><Relationship Id="rId7" Type="http://schemas.openxmlformats.org/officeDocument/2006/relationships/chart" Target="../charts/chart50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49.xml"/><Relationship Id="rId5" Type="http://schemas.openxmlformats.org/officeDocument/2006/relationships/hyperlink" Target="#'Obsah'!A1"/><Relationship Id="rId4" Type="http://schemas.openxmlformats.org/officeDocument/2006/relationships/chart" Target="../charts/chart48.xml"/><Relationship Id="rId9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hyperlink" Target="#'Obsah'!A1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hyperlink" Target="#'Obsah'!A1"/><Relationship Id="rId1" Type="http://schemas.openxmlformats.org/officeDocument/2006/relationships/chart" Target="../charts/chart57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hyperlink" Target="#'Obsah'!A1"/><Relationship Id="rId1" Type="http://schemas.openxmlformats.org/officeDocument/2006/relationships/chart" Target="../charts/chart61.xml"/><Relationship Id="rId4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hyperlink" Target="#'Obsah'!A1"/><Relationship Id="rId5" Type="http://schemas.openxmlformats.org/officeDocument/2006/relationships/chart" Target="../charts/chart79.xml"/><Relationship Id="rId4" Type="http://schemas.openxmlformats.org/officeDocument/2006/relationships/chart" Target="../charts/chart7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'Obsah'!A1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Obsah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762000</xdr:colOff>
      <xdr:row>2</xdr:row>
      <xdr:rowOff>111125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228600" y="161925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571500</xdr:colOff>
      <xdr:row>24</xdr:row>
      <xdr:rowOff>152400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885824</xdr:colOff>
      <xdr:row>5</xdr:row>
      <xdr:rowOff>0</xdr:rowOff>
    </xdr:from>
    <xdr:to>
      <xdr:col>10</xdr:col>
      <xdr:colOff>238125</xdr:colOff>
      <xdr:row>25</xdr:row>
      <xdr:rowOff>76200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4</xdr:row>
      <xdr:rowOff>85725</xdr:rowOff>
    </xdr:from>
    <xdr:to>
      <xdr:col>18</xdr:col>
      <xdr:colOff>400050</xdr:colOff>
      <xdr:row>24</xdr:row>
      <xdr:rowOff>76200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4</xdr:row>
      <xdr:rowOff>0</xdr:rowOff>
    </xdr:from>
    <xdr:to>
      <xdr:col>28</xdr:col>
      <xdr:colOff>381001</xdr:colOff>
      <xdr:row>24</xdr:row>
      <xdr:rowOff>76200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23425" y="37465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0400" y="2603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</xdr:row>
      <xdr:rowOff>95249</xdr:rowOff>
    </xdr:from>
    <xdr:to>
      <xdr:col>9</xdr:col>
      <xdr:colOff>9525</xdr:colOff>
      <xdr:row>21</xdr:row>
      <xdr:rowOff>47625</xdr:rowOff>
    </xdr:to>
    <xdr:graphicFrame macro="">
      <xdr:nvGraphicFramePr>
        <xdr:cNvPr id="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323851</xdr:colOff>
      <xdr:row>22</xdr:row>
      <xdr:rowOff>123825</xdr:rowOff>
    </xdr:from>
    <xdr:to>
      <xdr:col>9</xdr:col>
      <xdr:colOff>274321</xdr:colOff>
      <xdr:row>45</xdr:row>
      <xdr:rowOff>22860</xdr:rowOff>
    </xdr:to>
    <xdr:graphicFrame macro="">
      <xdr:nvGraphicFramePr>
        <xdr:cNvPr id="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8489950" y="7556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8</xdr:col>
      <xdr:colOff>361950</xdr:colOff>
      <xdr:row>67</xdr:row>
      <xdr:rowOff>133351</xdr:rowOff>
    </xdr:to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72</xdr:row>
      <xdr:rowOff>66675</xdr:rowOff>
    </xdr:from>
    <xdr:to>
      <xdr:col>8</xdr:col>
      <xdr:colOff>502920</xdr:colOff>
      <xdr:row>94</xdr:row>
      <xdr:rowOff>137160</xdr:rowOff>
    </xdr:to>
    <xdr:graphicFrame macro="">
      <xdr:nvGraphicFramePr>
        <xdr:cNvPr id="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0.03622</cdr:x>
      <cdr:y>0.03826</cdr:y>
    </cdr:from>
    <cdr:to>
      <cdr:x>0.26485</cdr:x>
      <cdr:y>0.16818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146" y="113713"/>
          <a:ext cx="714286" cy="386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0.03987</cdr:x>
      <cdr:y>0.8193</cdr:y>
    </cdr:from>
    <cdr:to>
      <cdr:x>0.31481</cdr:x>
      <cdr:y>0.91953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957" y="2231895"/>
          <a:ext cx="1351303" cy="27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0.32134</cdr:x>
      <cdr:y>0</cdr:y>
    </cdr:from>
    <cdr:to>
      <cdr:x>0.37873</cdr:x>
      <cdr:y>0.53497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991713" y="587630"/>
          <a:ext cx="1457326" cy="282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anchorCtr="1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</a:t>
          </a:r>
        </a:p>
      </cdr:txBody>
    </cdr:sp>
  </cdr:relSizeAnchor>
  <cdr:relSizeAnchor xmlns:cdr="http://schemas.openxmlformats.org/drawingml/2006/chartDrawing">
    <cdr:from>
      <cdr:x>0.7381</cdr:x>
      <cdr:y>0.03677</cdr:y>
    </cdr:from>
    <cdr:to>
      <cdr:x>0.95842</cdr:x>
      <cdr:y>0.19318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7475" y="123281"/>
          <a:ext cx="793269" cy="5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0.75423</cdr:x>
      <cdr:y>0.87077</cdr:y>
    </cdr:from>
    <cdr:to>
      <cdr:x>0.96697</cdr:x>
      <cdr:y>0.971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405" y="2566185"/>
          <a:ext cx="1081260" cy="29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0.03422</cdr:x>
      <cdr:y>0.49395</cdr:y>
    </cdr:from>
    <cdr:to>
      <cdr:x>0.49921</cdr:x>
      <cdr:y>0.54456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68207" y="1345605"/>
          <a:ext cx="2285380" cy="137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Produčná medzera (% HDP)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0.00807</cdr:x>
      <cdr:y>0.05322</cdr:y>
    </cdr:from>
    <cdr:to>
      <cdr:x>0.23331</cdr:x>
      <cdr:y>0.26537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93" y="156631"/>
          <a:ext cx="836711" cy="6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0.01293</cdr:x>
      <cdr:y>0.90652</cdr:y>
    </cdr:from>
    <cdr:to>
      <cdr:x>0.33333</cdr:x>
      <cdr:y>1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45" y="3048000"/>
          <a:ext cx="1126130" cy="3143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0.38652</cdr:x>
      <cdr:y>0</cdr:y>
    </cdr:from>
    <cdr:to>
      <cdr:x>0.43709</cdr:x>
      <cdr:y>0.51525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1148584" y="805612"/>
          <a:ext cx="1866900" cy="25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anchorCtr="1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</a:t>
          </a:r>
          <a:r>
            <a:rPr lang="sk-SK" sz="800" b="1" i="0" baseline="0">
              <a:effectLst/>
              <a:latin typeface="Arial Narrow" panose="020B0606020202030204" pitchFamily="34" charset="0"/>
              <a:ea typeface="+mn-ea"/>
              <a:cs typeface="+mn-cs"/>
            </a:rPr>
            <a:t>štrukturálneho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 salda (% HDP)</a:t>
          </a:r>
          <a:endParaRPr lang="sk-SK" sz="800">
            <a:effectLst/>
          </a:endParaRPr>
        </a:p>
        <a:p xmlns:a="http://schemas.openxmlformats.org/drawingml/2006/main">
          <a:pPr algn="l" rtl="0">
            <a:defRPr sz="1000"/>
          </a:pPr>
          <a:endParaRPr lang="sk-SK" sz="800" b="1" i="0" u="none" strike="noStrike" baseline="0">
            <a:solidFill>
              <a:schemeClr val="tx1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0.74486</cdr:x>
      <cdr:y>0.066</cdr:y>
    </cdr:from>
    <cdr:to>
      <cdr:x>0.94615</cdr:x>
      <cdr:y>0.18733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6983" y="194249"/>
          <a:ext cx="747742" cy="357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0.66396</cdr:x>
      <cdr:y>0.90935</cdr:y>
    </cdr:from>
    <cdr:to>
      <cdr:x>0.96491</cdr:x>
      <cdr:y>0.9977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3626" y="3057525"/>
          <a:ext cx="1057768" cy="297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0.02261</cdr:x>
      <cdr:y>0.57904</cdr:y>
    </cdr:from>
    <cdr:to>
      <cdr:x>0.46457</cdr:x>
      <cdr:y>0.64001</cdr:y>
    </cdr:to>
    <cdr:sp macro="" textlink="">
      <cdr:nvSpPr>
        <cdr:cNvPr id="9" name="BlokTextu 3"/>
        <cdr:cNvSpPr txBox="1"/>
      </cdr:nvSpPr>
      <cdr:spPr>
        <a:xfrm xmlns:a="http://schemas.openxmlformats.org/drawingml/2006/main">
          <a:off x="114300" y="2098038"/>
          <a:ext cx="2234492" cy="220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∆ </a:t>
          </a:r>
          <a:r>
            <a:rPr lang="sk-SK" sz="900" b="1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produkčnej</a:t>
          </a:r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medzery (p.b.)</a:t>
          </a:r>
          <a:endParaRPr lang="sk-SK" sz="800" b="1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0.03622</cdr:x>
      <cdr:y>0.03826</cdr:y>
    </cdr:from>
    <cdr:to>
      <cdr:x>0.26485</cdr:x>
      <cdr:y>0.16818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146" y="113713"/>
          <a:ext cx="714286" cy="386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pro -cyclical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fiscal restriction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0.03987</cdr:x>
      <cdr:y>0.8193</cdr:y>
    </cdr:from>
    <cdr:to>
      <cdr:x>0.31481</cdr:x>
      <cdr:y>0.91953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957" y="2231895"/>
          <a:ext cx="1351303" cy="27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Counter -cyclical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fiscal restriction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0.32134</cdr:x>
      <cdr:y>0</cdr:y>
    </cdr:from>
    <cdr:to>
      <cdr:x>0.37873</cdr:x>
      <cdr:y>0.53497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991713" y="587630"/>
          <a:ext cx="1457326" cy="282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anchorCtr="1" upright="1"/>
        <a:lstStyle xmlns:a="http://schemas.openxmlformats.org/drawingml/2006/main"/>
        <a:p xmlns:a="http://schemas.openxmlformats.org/drawingml/2006/main">
          <a:pPr rtl="0"/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primary strucutrla balance(% of GDP)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0.7381</cdr:x>
      <cdr:y>0.03677</cdr:y>
    </cdr:from>
    <cdr:to>
      <cdr:x>0.95842</cdr:x>
      <cdr:y>0.19318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7475" y="123281"/>
          <a:ext cx="793269" cy="5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Counter-cyclical 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fiscal restriction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0.75423</cdr:x>
      <cdr:y>0.87077</cdr:y>
    </cdr:from>
    <cdr:to>
      <cdr:x>0.96697</cdr:x>
      <cdr:y>0.971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405" y="2566185"/>
          <a:ext cx="1081260" cy="29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pro -cyclical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fiscal expansion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0.03422</cdr:x>
      <cdr:y>0.49395</cdr:y>
    </cdr:from>
    <cdr:to>
      <cdr:x>0.48062</cdr:x>
      <cdr:y>0.59441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68189" y="1345594"/>
          <a:ext cx="2194012" cy="273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effectLst/>
              <a:latin typeface="+mn-lt"/>
              <a:ea typeface="+mn-ea"/>
              <a:cs typeface="+mn-cs"/>
            </a:rPr>
            <a:t>Output Gap (</a:t>
          </a:r>
          <a:r>
            <a:rPr lang="sk-SK" sz="800" b="1">
              <a:effectLst/>
              <a:latin typeface="+mn-lt"/>
              <a:ea typeface="+mn-ea"/>
              <a:cs typeface="+mn-cs"/>
            </a:rPr>
            <a:t>%</a:t>
          </a:r>
          <a:r>
            <a:rPr lang="sk-SK" sz="800" b="1" baseline="0">
              <a:effectLst/>
              <a:latin typeface="+mn-lt"/>
              <a:ea typeface="+mn-ea"/>
              <a:cs typeface="+mn-cs"/>
            </a:rPr>
            <a:t> of GDP</a:t>
          </a:r>
          <a:r>
            <a:rPr lang="en-US" sz="800" b="1">
              <a:effectLst/>
              <a:latin typeface="+mn-lt"/>
              <a:ea typeface="+mn-ea"/>
              <a:cs typeface="+mn-cs"/>
            </a:rPr>
            <a:t>)</a:t>
          </a:r>
          <a:endParaRPr lang="sk-SK" sz="800">
            <a:effectLst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0.00807</cdr:x>
      <cdr:y>0.05322</cdr:y>
    </cdr:from>
    <cdr:to>
      <cdr:x>0.23331</cdr:x>
      <cdr:y>0.26537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93" y="156631"/>
          <a:ext cx="836711" cy="6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pro -cyclical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fiscal restriction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0.01293</cdr:x>
      <cdr:y>0.90652</cdr:y>
    </cdr:from>
    <cdr:to>
      <cdr:x>0.33333</cdr:x>
      <cdr:y>1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45" y="3048000"/>
          <a:ext cx="1126130" cy="3143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Counter -cyclical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fiscal restriction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0.38652</cdr:x>
      <cdr:y>0</cdr:y>
    </cdr:from>
    <cdr:to>
      <cdr:x>0.43709</cdr:x>
      <cdr:y>0.51525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1148584" y="805612"/>
          <a:ext cx="1866900" cy="25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anchorCtr="1" upright="1"/>
        <a:lstStyle xmlns:a="http://schemas.openxmlformats.org/drawingml/2006/main"/>
        <a:p xmlns:a="http://schemas.openxmlformats.org/drawingml/2006/main">
          <a:pPr rtl="0" eaLnBrk="1" fontAlgn="auto" latinLnBrk="0" hangingPunct="1"/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primary strucutrla balance(% of GDP</a:t>
          </a:r>
          <a:r>
            <a:rPr lang="en-US" sz="800" b="1" i="0" baseline="0">
              <a:effectLst/>
              <a:latin typeface="+mn-lt"/>
              <a:ea typeface="+mn-ea"/>
              <a:cs typeface="+mn-cs"/>
            </a:rPr>
            <a:t>)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0.74486</cdr:x>
      <cdr:y>0.066</cdr:y>
    </cdr:from>
    <cdr:to>
      <cdr:x>0.94615</cdr:x>
      <cdr:y>0.18733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6983" y="194249"/>
          <a:ext cx="747742" cy="357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Counter-cyclical 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sk-SK" sz="800" b="1" i="0">
              <a:effectLst/>
              <a:latin typeface="+mn-lt"/>
              <a:ea typeface="+mn-ea"/>
              <a:cs typeface="+mn-cs"/>
            </a:rPr>
            <a:t>fiscal restriction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0.66396</cdr:x>
      <cdr:y>0.90935</cdr:y>
    </cdr:from>
    <cdr:to>
      <cdr:x>0.96491</cdr:x>
      <cdr:y>0.9977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3626" y="3057525"/>
          <a:ext cx="1057768" cy="297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pro -cyclical</a:t>
          </a:r>
          <a:endParaRPr lang="sk-SK" sz="800">
            <a:effectLst/>
          </a:endParaRPr>
        </a:p>
        <a:p xmlns:a="http://schemas.openxmlformats.org/drawingml/2006/main">
          <a:pPr rtl="1"/>
          <a:r>
            <a:rPr lang="cs-CZ" sz="800" b="1" i="0">
              <a:effectLst/>
              <a:latin typeface="+mn-lt"/>
              <a:ea typeface="+mn-ea"/>
              <a:cs typeface="+mn-cs"/>
            </a:rPr>
            <a:t>fiscal expansion</a:t>
          </a:r>
          <a:endParaRPr lang="sk-SK" sz="800">
            <a:effectLst/>
          </a:endParaRPr>
        </a:p>
      </cdr:txBody>
    </cdr:sp>
  </cdr:relSizeAnchor>
  <cdr:relSizeAnchor xmlns:cdr="http://schemas.openxmlformats.org/drawingml/2006/chartDrawing">
    <cdr:from>
      <cdr:x>0.02261</cdr:x>
      <cdr:y>0.57904</cdr:y>
    </cdr:from>
    <cdr:to>
      <cdr:x>0.46457</cdr:x>
      <cdr:y>0.64001</cdr:y>
    </cdr:to>
    <cdr:sp macro="" textlink="">
      <cdr:nvSpPr>
        <cdr:cNvPr id="9" name="BlokTextu 3"/>
        <cdr:cNvSpPr txBox="1"/>
      </cdr:nvSpPr>
      <cdr:spPr>
        <a:xfrm xmlns:a="http://schemas.openxmlformats.org/drawingml/2006/main">
          <a:off x="114300" y="2098038"/>
          <a:ext cx="2234492" cy="220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∆ </a:t>
          </a:r>
          <a:r>
            <a:rPr lang="en-U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 gap</a:t>
          </a:r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(p.</a:t>
          </a:r>
          <a:r>
            <a:rPr lang="en-U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.)</a:t>
          </a:r>
          <a:endParaRPr lang="sk-SK" sz="800">
            <a:effectLst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4173200" y="190500"/>
          <a:ext cx="66357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116418</xdr:colOff>
      <xdr:row>4</xdr:row>
      <xdr:rowOff>21167</xdr:rowOff>
    </xdr:from>
    <xdr:to>
      <xdr:col>9</xdr:col>
      <xdr:colOff>391585</xdr:colOff>
      <xdr:row>16</xdr:row>
      <xdr:rowOff>31751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296331</xdr:colOff>
      <xdr:row>19</xdr:row>
      <xdr:rowOff>31749</xdr:rowOff>
    </xdr:from>
    <xdr:to>
      <xdr:col>9</xdr:col>
      <xdr:colOff>10584</xdr:colOff>
      <xdr:row>34</xdr:row>
      <xdr:rowOff>127000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10</xdr:col>
      <xdr:colOff>332317</xdr:colOff>
      <xdr:row>48</xdr:row>
      <xdr:rowOff>143934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52</xdr:row>
      <xdr:rowOff>1</xdr:rowOff>
    </xdr:from>
    <xdr:to>
      <xdr:col>9</xdr:col>
      <xdr:colOff>304803</xdr:colOff>
      <xdr:row>67</xdr:row>
      <xdr:rowOff>167640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717550" y="260350"/>
          <a:ext cx="619125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647699</xdr:colOff>
      <xdr:row>5</xdr:row>
      <xdr:rowOff>9525</xdr:rowOff>
    </xdr:from>
    <xdr:to>
      <xdr:col>8</xdr:col>
      <xdr:colOff>66674</xdr:colOff>
      <xdr:row>20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22</xdr:row>
      <xdr:rowOff>95251</xdr:rowOff>
    </xdr:from>
    <xdr:to>
      <xdr:col>8</xdr:col>
      <xdr:colOff>438150</xdr:colOff>
      <xdr:row>38</xdr:row>
      <xdr:rowOff>38101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561975</xdr:colOff>
      <xdr:row>77</xdr:row>
      <xdr:rowOff>104775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8</xdr:col>
      <xdr:colOff>85725</xdr:colOff>
      <xdr:row>59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166688</xdr:rowOff>
    </xdr:from>
    <xdr:to>
      <xdr:col>2</xdr:col>
      <xdr:colOff>3762375</xdr:colOff>
      <xdr:row>19</xdr:row>
      <xdr:rowOff>180975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3724276</xdr:colOff>
      <xdr:row>38</xdr:row>
      <xdr:rowOff>66676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790575" y="209550"/>
          <a:ext cx="863600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2</xdr:col>
      <xdr:colOff>3762375</xdr:colOff>
      <xdr:row>56</xdr:row>
      <xdr:rowOff>14287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41</xdr:row>
      <xdr:rowOff>0</xdr:rowOff>
    </xdr:from>
    <xdr:to>
      <xdr:col>5</xdr:col>
      <xdr:colOff>1390651</xdr:colOff>
      <xdr:row>55</xdr:row>
      <xdr:rowOff>66676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142875</xdr:rowOff>
    </xdr:from>
    <xdr:to>
      <xdr:col>11</xdr:col>
      <xdr:colOff>400050</xdr:colOff>
      <xdr:row>23</xdr:row>
      <xdr:rowOff>3384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</xdr:colOff>
      <xdr:row>1</xdr:row>
      <xdr:rowOff>34925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19125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11</xdr:col>
      <xdr:colOff>285750</xdr:colOff>
      <xdr:row>46</xdr:row>
      <xdr:rowOff>31959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73025</xdr:colOff>
      <xdr:row>1</xdr:row>
      <xdr:rowOff>130175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5250" y="85725"/>
          <a:ext cx="568325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</xdr:colOff>
      <xdr:row>4</xdr:row>
      <xdr:rowOff>84667</xdr:rowOff>
    </xdr:from>
    <xdr:to>
      <xdr:col>7</xdr:col>
      <xdr:colOff>447675</xdr:colOff>
      <xdr:row>20</xdr:row>
      <xdr:rowOff>21166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7</xdr:col>
      <xdr:colOff>447674</xdr:colOff>
      <xdr:row>42</xdr:row>
      <xdr:rowOff>88899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318500" y="381000"/>
          <a:ext cx="7588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571500</xdr:colOff>
      <xdr:row>3</xdr:row>
      <xdr:rowOff>201083</xdr:rowOff>
    </xdr:from>
    <xdr:to>
      <xdr:col>11</xdr:col>
      <xdr:colOff>42333</xdr:colOff>
      <xdr:row>19</xdr:row>
      <xdr:rowOff>81491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11</xdr:col>
      <xdr:colOff>61383</xdr:colOff>
      <xdr:row>39</xdr:row>
      <xdr:rowOff>128058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453390</xdr:colOff>
      <xdr:row>12</xdr:row>
      <xdr:rowOff>91440</xdr:rowOff>
    </xdr:from>
    <xdr:to>
      <xdr:col>16</xdr:col>
      <xdr:colOff>205740</xdr:colOff>
      <xdr:row>33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5AEAED7-8D1F-4EB8-9055-6B8165188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142875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82625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5</xdr:col>
      <xdr:colOff>447675</xdr:colOff>
      <xdr:row>37</xdr:row>
      <xdr:rowOff>57150</xdr:rowOff>
    </xdr:from>
    <xdr:to>
      <xdr:col>16</xdr:col>
      <xdr:colOff>200025</xdr:colOff>
      <xdr:row>58</xdr:row>
      <xdr:rowOff>76200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xmlns="" id="{D5AEAED7-8D1F-4EB8-9055-6B8165188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73025</xdr:colOff>
      <xdr:row>2</xdr:row>
      <xdr:rowOff>66675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85725"/>
          <a:ext cx="682625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84800" y="50800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8659</xdr:rowOff>
    </xdr:from>
    <xdr:to>
      <xdr:col>3</xdr:col>
      <xdr:colOff>658090</xdr:colOff>
      <xdr:row>15</xdr:row>
      <xdr:rowOff>34636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684068</xdr:colOff>
      <xdr:row>2</xdr:row>
      <xdr:rowOff>8659</xdr:rowOff>
    </xdr:from>
    <xdr:to>
      <xdr:col>6</xdr:col>
      <xdr:colOff>813955</xdr:colOff>
      <xdr:row>15</xdr:row>
      <xdr:rowOff>43296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865909</xdr:colOff>
      <xdr:row>2</xdr:row>
      <xdr:rowOff>8659</xdr:rowOff>
    </xdr:from>
    <xdr:to>
      <xdr:col>9</xdr:col>
      <xdr:colOff>900545</xdr:colOff>
      <xdr:row>15</xdr:row>
      <xdr:rowOff>43296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935182</xdr:colOff>
      <xdr:row>2</xdr:row>
      <xdr:rowOff>0</xdr:rowOff>
    </xdr:from>
    <xdr:to>
      <xdr:col>12</xdr:col>
      <xdr:colOff>666749</xdr:colOff>
      <xdr:row>15</xdr:row>
      <xdr:rowOff>51955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0</xdr:row>
      <xdr:rowOff>225425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3</xdr:col>
      <xdr:colOff>658090</xdr:colOff>
      <xdr:row>31</xdr:row>
      <xdr:rowOff>25977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6</xdr:col>
      <xdr:colOff>815687</xdr:colOff>
      <xdr:row>31</xdr:row>
      <xdr:rowOff>34637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9</xdr:col>
      <xdr:colOff>910936</xdr:colOff>
      <xdr:row>31</xdr:row>
      <xdr:rowOff>34637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12</xdr:col>
      <xdr:colOff>665017</xdr:colOff>
      <xdr:row>31</xdr:row>
      <xdr:rowOff>51955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84800" y="50800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95249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7174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152400</xdr:rowOff>
    </xdr:from>
    <xdr:to>
      <xdr:col>1</xdr:col>
      <xdr:colOff>409575</xdr:colOff>
      <xdr:row>2</xdr:row>
      <xdr:rowOff>57150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28625" y="152400"/>
          <a:ext cx="657225" cy="2286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523874</xdr:colOff>
      <xdr:row>4</xdr:row>
      <xdr:rowOff>60324</xdr:rowOff>
    </xdr:from>
    <xdr:to>
      <xdr:col>9</xdr:col>
      <xdr:colOff>1274</xdr:colOff>
      <xdr:row>21</xdr:row>
      <xdr:rowOff>97974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450849</xdr:colOff>
      <xdr:row>24</xdr:row>
      <xdr:rowOff>158749</xdr:rowOff>
    </xdr:from>
    <xdr:to>
      <xdr:col>8</xdr:col>
      <xdr:colOff>518799</xdr:colOff>
      <xdr:row>41</xdr:row>
      <xdr:rowOff>196399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153675</xdr:colOff>
      <xdr:row>61</xdr:row>
      <xdr:rowOff>37650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1190625</xdr:colOff>
      <xdr:row>44</xdr:row>
      <xdr:rowOff>47625</xdr:rowOff>
    </xdr:from>
    <xdr:to>
      <xdr:col>17</xdr:col>
      <xdr:colOff>248925</xdr:colOff>
      <xdr:row>61</xdr:row>
      <xdr:rowOff>47175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7432675" y="431800"/>
          <a:ext cx="561975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571500</xdr:colOff>
      <xdr:row>4</xdr:row>
      <xdr:rowOff>114301</xdr:rowOff>
    </xdr:from>
    <xdr:to>
      <xdr:col>7</xdr:col>
      <xdr:colOff>19050</xdr:colOff>
      <xdr:row>16</xdr:row>
      <xdr:rowOff>76201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390526</xdr:colOff>
      <xdr:row>20</xdr:row>
      <xdr:rowOff>57150</xdr:rowOff>
    </xdr:from>
    <xdr:to>
      <xdr:col>7</xdr:col>
      <xdr:colOff>361951</xdr:colOff>
      <xdr:row>33</xdr:row>
      <xdr:rowOff>22412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466727</xdr:colOff>
      <xdr:row>35</xdr:row>
      <xdr:rowOff>19048</xdr:rowOff>
    </xdr:from>
    <xdr:to>
      <xdr:col>8</xdr:col>
      <xdr:colOff>228600</xdr:colOff>
      <xdr:row>51</xdr:row>
      <xdr:rowOff>152399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457200</xdr:colOff>
      <xdr:row>35</xdr:row>
      <xdr:rowOff>9525</xdr:rowOff>
    </xdr:from>
    <xdr:to>
      <xdr:col>14</xdr:col>
      <xdr:colOff>114300</xdr:colOff>
      <xdr:row>52</xdr:row>
      <xdr:rowOff>152400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42862</xdr:rowOff>
    </xdr:from>
    <xdr:to>
      <xdr:col>5</xdr:col>
      <xdr:colOff>581025</xdr:colOff>
      <xdr:row>18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10</xdr:col>
      <xdr:colOff>742949</xdr:colOff>
      <xdr:row>3</xdr:row>
      <xdr:rowOff>0</xdr:rowOff>
    </xdr:from>
    <xdr:to>
      <xdr:col>15</xdr:col>
      <xdr:colOff>704850</xdr:colOff>
      <xdr:row>19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790576</xdr:colOff>
      <xdr:row>35</xdr:row>
      <xdr:rowOff>85725</xdr:rowOff>
    </xdr:from>
    <xdr:to>
      <xdr:col>5</xdr:col>
      <xdr:colOff>28575</xdr:colOff>
      <xdr:row>56</xdr:row>
      <xdr:rowOff>133350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9526</xdr:colOff>
      <xdr:row>35</xdr:row>
      <xdr:rowOff>19050</xdr:rowOff>
    </xdr:from>
    <xdr:to>
      <xdr:col>14</xdr:col>
      <xdr:colOff>447675</xdr:colOff>
      <xdr:row>55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57149</xdr:rowOff>
    </xdr:from>
    <xdr:to>
      <xdr:col>6</xdr:col>
      <xdr:colOff>247650</xdr:colOff>
      <xdr:row>18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21</xdr:col>
      <xdr:colOff>600075</xdr:colOff>
      <xdr:row>2</xdr:row>
      <xdr:rowOff>123825</xdr:rowOff>
    </xdr:from>
    <xdr:to>
      <xdr:col>29</xdr:col>
      <xdr:colOff>352425</xdr:colOff>
      <xdr:row>20</xdr:row>
      <xdr:rowOff>142875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828675</xdr:colOff>
      <xdr:row>25</xdr:row>
      <xdr:rowOff>76200</xdr:rowOff>
    </xdr:from>
    <xdr:to>
      <xdr:col>5</xdr:col>
      <xdr:colOff>514350</xdr:colOff>
      <xdr:row>41</xdr:row>
      <xdr:rowOff>19051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76199</xdr:rowOff>
    </xdr:from>
    <xdr:to>
      <xdr:col>8</xdr:col>
      <xdr:colOff>257175</xdr:colOff>
      <xdr:row>16</xdr:row>
      <xdr:rowOff>95249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</xdr:row>
      <xdr:rowOff>57150</xdr:rowOff>
    </xdr:from>
    <xdr:to>
      <xdr:col>22</xdr:col>
      <xdr:colOff>161925</xdr:colOff>
      <xdr:row>17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1</xdr:rowOff>
    </xdr:from>
    <xdr:to>
      <xdr:col>3</xdr:col>
      <xdr:colOff>152400</xdr:colOff>
      <xdr:row>1</xdr:row>
      <xdr:rowOff>95251</xdr:rowOff>
    </xdr:to>
    <xdr:sp macro="" textlink="">
      <xdr:nvSpPr>
        <xdr:cNvPr id="7" name="Zaoblený obdĺžnik 6">
          <a:hlinkClick xmlns:r="http://schemas.openxmlformats.org/officeDocument/2006/relationships" r:id="rId3"/>
        </xdr:cNvPr>
        <xdr:cNvSpPr/>
      </xdr:nvSpPr>
      <xdr:spPr>
        <a:xfrm>
          <a:off x="1133475" y="1"/>
          <a:ext cx="762000" cy="2667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7</xdr:col>
      <xdr:colOff>390525</xdr:colOff>
      <xdr:row>42</xdr:row>
      <xdr:rowOff>47625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26</xdr:row>
      <xdr:rowOff>0</xdr:rowOff>
    </xdr:from>
    <xdr:to>
      <xdr:col>22</xdr:col>
      <xdr:colOff>161925</xdr:colOff>
      <xdr:row>41</xdr:row>
      <xdr:rowOff>104775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0.74656</cdr:x>
      <cdr:y>0.39778</cdr:y>
    </cdr:from>
    <cdr:to>
      <cdr:x>0.99573</cdr:x>
      <cdr:y>0.50102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2739839" y="1036264"/>
          <a:ext cx="914400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1100" b="0">
              <a:latin typeface="Arial Narrow" panose="020B0606020202030204" pitchFamily="34" charset="0"/>
            </a:rPr>
            <a:t>Dolný interval</a:t>
          </a:r>
        </a:p>
      </cdr:txBody>
    </cdr:sp>
  </cdr:relSizeAnchor>
  <cdr:relSizeAnchor xmlns:cdr="http://schemas.openxmlformats.org/drawingml/2006/chartDrawing">
    <cdr:from>
      <cdr:x>0.72529</cdr:x>
      <cdr:y>0.03671</cdr:y>
    </cdr:from>
    <cdr:to>
      <cdr:x>0.97445</cdr:x>
      <cdr:y>0.13994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2661771" y="95624"/>
          <a:ext cx="914400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0">
              <a:latin typeface="Arial Narrow" panose="020B0606020202030204" pitchFamily="34" charset="0"/>
            </a:rPr>
            <a:t>Horný interval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0.74656</cdr:x>
      <cdr:y>0.39778</cdr:y>
    </cdr:from>
    <cdr:to>
      <cdr:x>0.99573</cdr:x>
      <cdr:y>0.50102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2739839" y="1036264"/>
          <a:ext cx="914400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1100" b="0">
              <a:latin typeface="Arial Narrow" panose="020B0606020202030204" pitchFamily="34" charset="0"/>
            </a:rPr>
            <a:t>Lower interval</a:t>
          </a:r>
        </a:p>
      </cdr:txBody>
    </cdr:sp>
  </cdr:relSizeAnchor>
  <cdr:relSizeAnchor xmlns:cdr="http://schemas.openxmlformats.org/drawingml/2006/chartDrawing">
    <cdr:from>
      <cdr:x>0.72529</cdr:x>
      <cdr:y>0.03671</cdr:y>
    </cdr:from>
    <cdr:to>
      <cdr:x>0.97445</cdr:x>
      <cdr:y>0.13994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2661771" y="95624"/>
          <a:ext cx="914400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100" b="0">
              <a:latin typeface="Arial Narrow" panose="020B0606020202030204" pitchFamily="34" charset="0"/>
            </a:rPr>
            <a:t>Upper interval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3</xdr:row>
      <xdr:rowOff>189706</xdr:rowOff>
    </xdr:from>
    <xdr:to>
      <xdr:col>8</xdr:col>
      <xdr:colOff>21431</xdr:colOff>
      <xdr:row>18</xdr:row>
      <xdr:rowOff>71438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514351</xdr:colOff>
      <xdr:row>20</xdr:row>
      <xdr:rowOff>46832</xdr:rowOff>
    </xdr:from>
    <xdr:to>
      <xdr:col>7</xdr:col>
      <xdr:colOff>476251</xdr:colOff>
      <xdr:row>35</xdr:row>
      <xdr:rowOff>114301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460375</xdr:colOff>
      <xdr:row>38</xdr:row>
      <xdr:rowOff>189706</xdr:rowOff>
    </xdr:from>
    <xdr:to>
      <xdr:col>8</xdr:col>
      <xdr:colOff>21431</xdr:colOff>
      <xdr:row>53</xdr:row>
      <xdr:rowOff>71438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514351</xdr:colOff>
      <xdr:row>56</xdr:row>
      <xdr:rowOff>46832</xdr:rowOff>
    </xdr:from>
    <xdr:to>
      <xdr:col>7</xdr:col>
      <xdr:colOff>476251</xdr:colOff>
      <xdr:row>71</xdr:row>
      <xdr:rowOff>114301</xdr:rowOff>
    </xdr:to>
    <xdr:graphicFrame macro="">
      <xdr:nvGraphicFramePr>
        <xdr:cNvPr id="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587375</xdr:colOff>
      <xdr:row>4</xdr:row>
      <xdr:rowOff>228600</xdr:rowOff>
    </xdr:from>
    <xdr:to>
      <xdr:col>15</xdr:col>
      <xdr:colOff>47625</xdr:colOff>
      <xdr:row>17</xdr:row>
      <xdr:rowOff>31750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365125</xdr:colOff>
      <xdr:row>4</xdr:row>
      <xdr:rowOff>201612</xdr:rowOff>
    </xdr:from>
    <xdr:to>
      <xdr:col>9</xdr:col>
      <xdr:colOff>177800</xdr:colOff>
      <xdr:row>17</xdr:row>
      <xdr:rowOff>42862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7089775" y="81280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5</xdr:col>
      <xdr:colOff>587375</xdr:colOff>
      <xdr:row>53</xdr:row>
      <xdr:rowOff>228600</xdr:rowOff>
    </xdr:from>
    <xdr:to>
      <xdr:col>15</xdr:col>
      <xdr:colOff>47625</xdr:colOff>
      <xdr:row>66</xdr:row>
      <xdr:rowOff>31750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365125</xdr:colOff>
      <xdr:row>53</xdr:row>
      <xdr:rowOff>201612</xdr:rowOff>
    </xdr:from>
    <xdr:to>
      <xdr:col>9</xdr:col>
      <xdr:colOff>177800</xdr:colOff>
      <xdr:row>66</xdr:row>
      <xdr:rowOff>42862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9525</xdr:colOff>
      <xdr:row>4</xdr:row>
      <xdr:rowOff>161924</xdr:rowOff>
    </xdr:from>
    <xdr:to>
      <xdr:col>6</xdr:col>
      <xdr:colOff>85725</xdr:colOff>
      <xdr:row>15</xdr:row>
      <xdr:rowOff>152399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17</xdr:row>
      <xdr:rowOff>133350</xdr:rowOff>
    </xdr:from>
    <xdr:to>
      <xdr:col>6</xdr:col>
      <xdr:colOff>361950</xdr:colOff>
      <xdr:row>29</xdr:row>
      <xdr:rowOff>95250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33</xdr:row>
      <xdr:rowOff>161924</xdr:rowOff>
    </xdr:from>
    <xdr:to>
      <xdr:col>6</xdr:col>
      <xdr:colOff>85725</xdr:colOff>
      <xdr:row>44</xdr:row>
      <xdr:rowOff>152399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46</xdr:row>
      <xdr:rowOff>133350</xdr:rowOff>
    </xdr:from>
    <xdr:to>
      <xdr:col>6</xdr:col>
      <xdr:colOff>361950</xdr:colOff>
      <xdr:row>58</xdr:row>
      <xdr:rowOff>95250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01200" y="190500"/>
          <a:ext cx="7461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19050</xdr:colOff>
      <xdr:row>4</xdr:row>
      <xdr:rowOff>47625</xdr:rowOff>
    </xdr:from>
    <xdr:to>
      <xdr:col>8</xdr:col>
      <xdr:colOff>457200</xdr:colOff>
      <xdr:row>22</xdr:row>
      <xdr:rowOff>47175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578302</xdr:colOff>
      <xdr:row>25</xdr:row>
      <xdr:rowOff>141514</xdr:rowOff>
    </xdr:from>
    <xdr:to>
      <xdr:col>8</xdr:col>
      <xdr:colOff>400049</xdr:colOff>
      <xdr:row>43</xdr:row>
      <xdr:rowOff>141064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504825</xdr:colOff>
      <xdr:row>47</xdr:row>
      <xdr:rowOff>152400</xdr:rowOff>
    </xdr:from>
    <xdr:to>
      <xdr:col>13</xdr:col>
      <xdr:colOff>745672</xdr:colOff>
      <xdr:row>65</xdr:row>
      <xdr:rowOff>151950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438150</xdr:colOff>
      <xdr:row>65</xdr:row>
      <xdr:rowOff>161475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1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561975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01200" y="190500"/>
          <a:ext cx="7461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296396</xdr:colOff>
      <xdr:row>4</xdr:row>
      <xdr:rowOff>6163</xdr:rowOff>
    </xdr:from>
    <xdr:to>
      <xdr:col>7</xdr:col>
      <xdr:colOff>50021</xdr:colOff>
      <xdr:row>21</xdr:row>
      <xdr:rowOff>43813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370254</xdr:colOff>
      <xdr:row>23</xdr:row>
      <xdr:rowOff>81303</xdr:rowOff>
    </xdr:from>
    <xdr:to>
      <xdr:col>7</xdr:col>
      <xdr:colOff>123879</xdr:colOff>
      <xdr:row>40</xdr:row>
      <xdr:rowOff>118952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067675" y="21907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47625</xdr:colOff>
      <xdr:row>4</xdr:row>
      <xdr:rowOff>161925</xdr:rowOff>
    </xdr:from>
    <xdr:to>
      <xdr:col>7</xdr:col>
      <xdr:colOff>533401</xdr:colOff>
      <xdr:row>20</xdr:row>
      <xdr:rowOff>95251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28575</xdr:colOff>
      <xdr:row>38</xdr:row>
      <xdr:rowOff>19050</xdr:rowOff>
    </xdr:from>
    <xdr:to>
      <xdr:col>12</xdr:col>
      <xdr:colOff>1590676</xdr:colOff>
      <xdr:row>50</xdr:row>
      <xdr:rowOff>95251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01200" y="190500"/>
          <a:ext cx="7461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661987</xdr:colOff>
      <xdr:row>4</xdr:row>
      <xdr:rowOff>61913</xdr:rowOff>
    </xdr:from>
    <xdr:to>
      <xdr:col>9</xdr:col>
      <xdr:colOff>225112</xdr:colOff>
      <xdr:row>21</xdr:row>
      <xdr:rowOff>99563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315600</xdr:colOff>
      <xdr:row>46</xdr:row>
      <xdr:rowOff>37650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107950</xdr:rowOff>
    </xdr:from>
    <xdr:to>
      <xdr:col>2</xdr:col>
      <xdr:colOff>203200</xdr:colOff>
      <xdr:row>2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61150" y="1079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409575</xdr:colOff>
      <xdr:row>5</xdr:row>
      <xdr:rowOff>66675</xdr:rowOff>
    </xdr:from>
    <xdr:to>
      <xdr:col>7</xdr:col>
      <xdr:colOff>9525</xdr:colOff>
      <xdr:row>21</xdr:row>
      <xdr:rowOff>76200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27</xdr:row>
      <xdr:rowOff>57150</xdr:rowOff>
    </xdr:from>
    <xdr:to>
      <xdr:col>7</xdr:col>
      <xdr:colOff>161925</xdr:colOff>
      <xdr:row>45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PANTOLIN\My%20Local%20Documents\Slovenia\Wages_em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PANTOLIN\My%20Local%20Documents\Slovenia\Wages_employ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Slovenia\SV%20MONITOR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AL\CZYWP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WIN\Temporary%20Internet%20Files\OLKE156\Money\Monetary%20Conditions\mcichart_core_inf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SVN\BOP\REER%20and%20competitiveness\Competitiven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lshoobridge\Local%20Settings\Temporary%20Internet%20Files\OLK10\Charts\Svk%20Charts%20Data%202005_curren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FIS\M-T%20fiscal%20June10%2020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17/Dane/Prispevky_k_prognoze_RVS_vs_201709_pre_DBP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O2\MKD\REP\TABLES\red98\Mk-red9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ER\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dtzanninis\My%20Local%20Documents\Slovenia\CZE%20--%20Main%20Fiscal%20F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jakub\Downloads\DBP_2018_tables_ENG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do komentara"/>
      <sheetName val="Vplyvy sumar"/>
      <sheetName val="dane"/>
      <sheetName val="makro"/>
      <sheetName val="legislativa"/>
      <sheetName val="grafy"/>
      <sheetName val="grafy EN"/>
      <sheetName val="Rozbitie_vplyvov"/>
    </sheetNames>
    <sheetDataSet>
      <sheetData sheetId="0"/>
      <sheetData sheetId="1"/>
      <sheetData sheetId="2"/>
      <sheetData sheetId="3">
        <row r="4">
          <cell r="C4">
            <v>78.502858382318436</v>
          </cell>
          <cell r="D4">
            <v>81.275452380922246</v>
          </cell>
          <cell r="E4">
            <v>84.423579375810974</v>
          </cell>
          <cell r="F4">
            <v>88.130188629539617</v>
          </cell>
          <cell r="G4">
            <v>0</v>
          </cell>
        </row>
        <row r="5">
          <cell r="C5">
            <v>80.547803876732885</v>
          </cell>
          <cell r="D5">
            <v>83.991385519523988</v>
          </cell>
          <cell r="E5">
            <v>88.52128676831191</v>
          </cell>
          <cell r="F5">
            <v>94.214617048377477</v>
          </cell>
          <cell r="G5">
            <v>0</v>
          </cell>
        </row>
        <row r="6">
          <cell r="C6">
            <v>40.665754122542438</v>
          </cell>
          <cell r="D6">
            <v>41.680666361334218</v>
          </cell>
          <cell r="E6">
            <v>42.821904778464514</v>
          </cell>
          <cell r="F6">
            <v>44.08020114451071</v>
          </cell>
          <cell r="G6">
            <v>0</v>
          </cell>
        </row>
        <row r="7">
          <cell r="C7">
            <v>43.984500712420669</v>
          </cell>
          <cell r="D7">
            <v>45.484535352602684</v>
          </cell>
          <cell r="E7">
            <v>47.497836713264157</v>
          </cell>
          <cell r="F7">
            <v>49.833106284220669</v>
          </cell>
          <cell r="G7">
            <v>0</v>
          </cell>
        </row>
        <row r="8">
          <cell r="C8">
            <v>38.524899015465365</v>
          </cell>
          <cell r="D8">
            <v>39.582549462948265</v>
          </cell>
          <cell r="E8">
            <v>41.070550408639242</v>
          </cell>
          <cell r="F8">
            <v>42.977890830757936</v>
          </cell>
          <cell r="G8">
            <v>0</v>
          </cell>
        </row>
        <row r="11">
          <cell r="C11">
            <v>25.061205094962499</v>
          </cell>
          <cell r="D11">
            <v>26.325903158710343</v>
          </cell>
          <cell r="E11">
            <v>27.735670690784264</v>
          </cell>
          <cell r="F11">
            <v>29.32785259387137</v>
          </cell>
          <cell r="G11">
            <v>0</v>
          </cell>
        </row>
        <row r="14">
          <cell r="C14">
            <v>0.22924020064339004</v>
          </cell>
          <cell r="D14">
            <v>0.22483632448877952</v>
          </cell>
          <cell r="E14">
            <v>0.24011994064497608</v>
          </cell>
          <cell r="F14">
            <v>0.27414675953044987</v>
          </cell>
          <cell r="G14">
            <v>0</v>
          </cell>
        </row>
        <row r="16">
          <cell r="C16">
            <v>49.281091445453157</v>
          </cell>
          <cell r="D16">
            <v>51.065913586707978</v>
          </cell>
          <cell r="E16">
            <v>53.834842349880567</v>
          </cell>
          <cell r="F16">
            <v>57.568129491799702</v>
          </cell>
          <cell r="G16">
            <v>0</v>
          </cell>
        </row>
        <row r="17">
          <cell r="C17">
            <v>66.319277427653276</v>
          </cell>
          <cell r="D17">
            <v>70.182634133387978</v>
          </cell>
          <cell r="E17">
            <v>75.439345535102163</v>
          </cell>
          <cell r="F17">
            <v>81.793801752423647</v>
          </cell>
          <cell r="G17">
            <v>0</v>
          </cell>
        </row>
        <row r="26">
          <cell r="C26">
            <v>78.854728000000009</v>
          </cell>
          <cell r="D26">
            <v>81.484094566064485</v>
          </cell>
          <cell r="E26">
            <v>84.87893092860277</v>
          </cell>
          <cell r="F26">
            <v>88.591069889878383</v>
          </cell>
          <cell r="G26">
            <v>92.026930652835716</v>
          </cell>
        </row>
        <row r="27">
          <cell r="C27">
            <v>80.958004000000003</v>
          </cell>
          <cell r="D27">
            <v>84.5995693583274</v>
          </cell>
          <cell r="E27">
            <v>89.495333808169264</v>
          </cell>
          <cell r="F27">
            <v>95.260868620557332</v>
          </cell>
          <cell r="G27">
            <v>101.00735417605054</v>
          </cell>
        </row>
        <row r="28">
          <cell r="C28">
            <v>40.196354000000007</v>
          </cell>
          <cell r="D28">
            <v>41.547512733512335</v>
          </cell>
          <cell r="E28">
            <v>42.754818304678729</v>
          </cell>
          <cell r="F28">
            <v>43.975046180032002</v>
          </cell>
          <cell r="G28">
            <v>45.240036950748845</v>
          </cell>
        </row>
        <row r="29">
          <cell r="C29">
            <v>43.548813000000003</v>
          </cell>
          <cell r="D29">
            <v>45.641597296232476</v>
          </cell>
          <cell r="E29">
            <v>47.75602071442546</v>
          </cell>
          <cell r="F29">
            <v>50.052825164944132</v>
          </cell>
          <cell r="G29">
            <v>52.566197780740211</v>
          </cell>
        </row>
        <row r="30">
          <cell r="C30">
            <v>38.032027270299999</v>
          </cell>
          <cell r="D30">
            <v>39.582992287585846</v>
          </cell>
          <cell r="E30">
            <v>41.252391473310389</v>
          </cell>
          <cell r="F30">
            <v>43.192634607434158</v>
          </cell>
          <cell r="G30">
            <v>45.244232556433211</v>
          </cell>
        </row>
        <row r="33">
          <cell r="C33">
            <v>25.247460527999998</v>
          </cell>
          <cell r="D33">
            <v>26.73031719291571</v>
          </cell>
          <cell r="E33">
            <v>28.366257844877175</v>
          </cell>
          <cell r="F33">
            <v>30.038917613277654</v>
          </cell>
          <cell r="G33">
            <v>31.909135439919183</v>
          </cell>
        </row>
        <row r="36">
          <cell r="C36">
            <v>0.21851840145167084</v>
          </cell>
          <cell r="D36">
            <v>0.15625706290990021</v>
          </cell>
          <cell r="E36">
            <v>0.15418751268812014</v>
          </cell>
          <cell r="F36">
            <v>0.149105036903216</v>
          </cell>
          <cell r="G36">
            <v>0.1570961354122469</v>
          </cell>
        </row>
        <row r="38">
          <cell r="C38">
            <v>49.331429000000007</v>
          </cell>
          <cell r="D38">
            <v>51.009380978787284</v>
          </cell>
          <cell r="E38">
            <v>53.916898308264891</v>
          </cell>
          <cell r="F38">
            <v>57.604658786380242</v>
          </cell>
          <cell r="G38">
            <v>61.012127420618299</v>
          </cell>
        </row>
        <row r="39">
          <cell r="C39">
            <v>65.799836999999997</v>
          </cell>
          <cell r="D39">
            <v>70.666258866172427</v>
          </cell>
          <cell r="E39">
            <v>76.432399798318372</v>
          </cell>
          <cell r="F39">
            <v>82.850139524502367</v>
          </cell>
          <cell r="G39">
            <v>88.954858057466581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AB3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SV FISCA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MMF_TABULKA"/>
      <sheetName val="Graph 1 + 2"/>
      <sheetName val="Graph 3 + 4"/>
      <sheetName val="Graph 5 + 6"/>
      <sheetName val="Graph 7 + 8"/>
      <sheetName val="Box 1_ Graph 9_ Table 1+2"/>
      <sheetName val="Graph 10"/>
      <sheetName val="Graph 11 "/>
      <sheetName val="Graph 12"/>
      <sheetName val="Table 3"/>
      <sheetName val="Table 4"/>
      <sheetName val="BOX 3 _ graph 13 + 14 _ Tab5"/>
      <sheetName val="Graph 15 + 16 + Tab 6"/>
      <sheetName val="Table 7 "/>
      <sheetName val="Table 8"/>
      <sheetName val="Graph 17"/>
      <sheetName val="Graph 18"/>
      <sheetName val="Box 5_Graph 19"/>
      <sheetName val="Box 6 _ Tab 9 + Graph 20"/>
      <sheetName val="Graph 21 + 22"/>
      <sheetName val="Graph 23 + 24"/>
      <sheetName val="Graph 25 + 26"/>
      <sheetName val="Graph 27 + 28"/>
      <sheetName val="Graph 29 + 30"/>
      <sheetName val="Graph 31 + 32"/>
      <sheetName val="Graph 33 + Tabuľka 10"/>
      <sheetName val="Graph 34"/>
      <sheetName val="Table 11"/>
      <sheetName val="Table 12"/>
      <sheetName val="Box 10_tab 13"/>
      <sheetName val="Table 14"/>
      <sheetName val="Graph 35 + 36"/>
      <sheetName val="BOX 11_Table 15"/>
      <sheetName val="Box 11_Graph 37 + 38"/>
      <sheetName val="Graph 39"/>
      <sheetName val="Table 16"/>
      <sheetName val="Table 17"/>
      <sheetName val="Graph 40 + 41 + 42"/>
      <sheetName val="Table 18 "/>
      <sheetName val="Graph 43 + 44"/>
      <sheetName val="Graph 45 + 46"/>
      <sheetName val="Table 19"/>
      <sheetName val="Graph 47 + 48"/>
      <sheetName val="Graph 49 + 50"/>
      <sheetName val="Table 20 "/>
      <sheetName val="Table 21"/>
      <sheetName val="Table 22"/>
      <sheetName val="Graph 51 +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tabSelected="1" zoomScale="90" zoomScaleNormal="90" workbookViewId="0"/>
  </sheetViews>
  <sheetFormatPr defaultRowHeight="15" x14ac:dyDescent="0.25"/>
  <cols>
    <col min="6" max="6" width="13.140625" customWidth="1"/>
    <col min="15" max="15" width="13" customWidth="1"/>
    <col min="17" max="17" width="10.42578125" customWidth="1"/>
  </cols>
  <sheetData>
    <row r="1" spans="1:26" ht="16.5" x14ac:dyDescent="0.3"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</row>
    <row r="2" spans="1:26" ht="15" customHeight="1" thickBot="1" x14ac:dyDescent="0.35">
      <c r="B2" s="809" t="s">
        <v>878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376"/>
      <c r="Q2" s="376"/>
      <c r="R2" s="787"/>
      <c r="S2" s="787"/>
      <c r="T2" s="787"/>
      <c r="U2" s="787"/>
      <c r="V2" s="787"/>
      <c r="W2" s="787"/>
    </row>
    <row r="3" spans="1:26" ht="17.25" thickBot="1" x14ac:dyDescent="0.35">
      <c r="A3" s="403"/>
      <c r="B3" s="378"/>
      <c r="C3" s="810" t="s">
        <v>246</v>
      </c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787"/>
      <c r="O3" s="787"/>
      <c r="P3" s="787"/>
      <c r="Q3" s="787"/>
      <c r="R3" s="787"/>
      <c r="S3" s="787"/>
      <c r="T3" s="787"/>
      <c r="U3" s="787"/>
      <c r="V3" s="787"/>
      <c r="W3" s="787"/>
    </row>
    <row r="4" spans="1:26" ht="17.25" thickBot="1" x14ac:dyDescent="0.35">
      <c r="A4" s="403"/>
      <c r="B4" s="377"/>
      <c r="C4" s="807" t="s">
        <v>875</v>
      </c>
      <c r="D4" s="807"/>
      <c r="E4" s="807"/>
      <c r="F4" s="807"/>
      <c r="G4" s="807"/>
      <c r="H4" s="807"/>
      <c r="I4" s="807"/>
      <c r="J4" s="807"/>
      <c r="K4" s="807"/>
      <c r="L4" s="80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</row>
    <row r="5" spans="1:26" ht="17.25" thickBot="1" x14ac:dyDescent="0.35">
      <c r="A5" s="403"/>
      <c r="B5" s="378"/>
      <c r="C5" s="684" t="s">
        <v>828</v>
      </c>
      <c r="D5" s="787"/>
      <c r="E5" s="787"/>
      <c r="F5" s="788"/>
      <c r="G5" s="788"/>
      <c r="H5" s="788"/>
      <c r="I5" s="788"/>
      <c r="J5" s="788"/>
      <c r="K5" s="788"/>
      <c r="L5" s="788"/>
      <c r="M5" s="788"/>
      <c r="N5" s="378"/>
      <c r="O5" s="684" t="s">
        <v>831</v>
      </c>
      <c r="P5" s="787"/>
      <c r="Q5" s="787"/>
      <c r="R5" s="787"/>
      <c r="S5" s="787"/>
      <c r="T5" s="787"/>
      <c r="U5" s="787"/>
      <c r="V5" s="787"/>
      <c r="W5" s="787"/>
    </row>
    <row r="6" spans="1:26" ht="17.25" thickBot="1" x14ac:dyDescent="0.35">
      <c r="B6" s="377"/>
      <c r="C6" s="807" t="s">
        <v>884</v>
      </c>
      <c r="D6" s="807"/>
      <c r="E6" s="807"/>
      <c r="F6" s="807"/>
      <c r="G6" s="787"/>
      <c r="H6" s="787"/>
      <c r="I6" s="787"/>
      <c r="J6" s="787"/>
      <c r="K6" s="787"/>
      <c r="L6" s="787"/>
      <c r="M6" s="787"/>
      <c r="N6" s="377"/>
      <c r="O6" s="807" t="s">
        <v>896</v>
      </c>
      <c r="P6" s="807"/>
      <c r="Q6" s="807"/>
      <c r="R6" s="807"/>
      <c r="S6" s="807"/>
      <c r="T6" s="807"/>
      <c r="U6" s="807"/>
      <c r="V6" s="807"/>
      <c r="W6" s="807"/>
      <c r="Z6" s="686"/>
    </row>
    <row r="7" spans="1:26" ht="15.75" thickBot="1" x14ac:dyDescent="0.3">
      <c r="B7" s="377"/>
      <c r="C7" s="807" t="s">
        <v>876</v>
      </c>
      <c r="D7" s="807"/>
      <c r="E7" s="807"/>
      <c r="F7" s="807"/>
      <c r="G7" s="807"/>
      <c r="H7" s="807"/>
      <c r="I7" s="807"/>
      <c r="J7" s="807"/>
      <c r="K7" s="807"/>
      <c r="L7" s="788"/>
      <c r="M7" s="788"/>
      <c r="N7" s="377"/>
      <c r="O7" s="807" t="s">
        <v>916</v>
      </c>
      <c r="P7" s="807"/>
      <c r="Q7" s="807"/>
      <c r="R7" s="807"/>
      <c r="S7" s="807"/>
      <c r="T7" s="807"/>
      <c r="U7" s="807"/>
      <c r="V7" s="807"/>
      <c r="W7" s="807"/>
      <c r="Z7" s="686"/>
    </row>
    <row r="8" spans="1:26" ht="17.25" thickBot="1" x14ac:dyDescent="0.35">
      <c r="B8" s="377"/>
      <c r="C8" s="807" t="s">
        <v>877</v>
      </c>
      <c r="D8" s="807"/>
      <c r="E8" s="807"/>
      <c r="F8" s="807"/>
      <c r="G8" s="807"/>
      <c r="H8" s="807"/>
      <c r="I8" s="807"/>
      <c r="J8" s="807"/>
      <c r="K8" s="807"/>
      <c r="L8" s="807"/>
      <c r="M8" s="787"/>
      <c r="N8" s="377"/>
      <c r="O8" s="807" t="s">
        <v>897</v>
      </c>
      <c r="P8" s="807"/>
      <c r="Q8" s="807"/>
      <c r="R8" s="807"/>
      <c r="S8" s="807"/>
      <c r="T8" s="807"/>
      <c r="U8" s="807"/>
      <c r="V8" s="807"/>
      <c r="W8" s="807"/>
      <c r="Z8" s="686"/>
    </row>
    <row r="9" spans="1:26" ht="17.25" thickBot="1" x14ac:dyDescent="0.35">
      <c r="B9" s="377"/>
      <c r="C9" s="807" t="s">
        <v>895</v>
      </c>
      <c r="D9" s="807"/>
      <c r="E9" s="807"/>
      <c r="F9" s="807"/>
      <c r="G9" s="807"/>
      <c r="H9" s="807"/>
      <c r="I9" s="807"/>
      <c r="J9" s="807"/>
      <c r="K9" s="807"/>
      <c r="L9" s="807"/>
      <c r="M9" s="787"/>
      <c r="N9" s="377"/>
      <c r="O9" s="807" t="s">
        <v>898</v>
      </c>
      <c r="P9" s="807"/>
      <c r="Q9" s="807"/>
      <c r="R9" s="807"/>
      <c r="S9" s="807"/>
      <c r="T9" s="807"/>
      <c r="U9" s="807"/>
      <c r="V9" s="807"/>
      <c r="W9" s="807"/>
      <c r="Z9" s="686"/>
    </row>
    <row r="10" spans="1:26" ht="17.25" thickBot="1" x14ac:dyDescent="0.35">
      <c r="B10" s="377"/>
      <c r="C10" s="807" t="s">
        <v>885</v>
      </c>
      <c r="D10" s="807"/>
      <c r="E10" s="807"/>
      <c r="F10" s="807"/>
      <c r="G10" s="807"/>
      <c r="H10" s="807"/>
      <c r="I10" s="807"/>
      <c r="J10" s="807"/>
      <c r="K10" s="807"/>
      <c r="L10" s="807"/>
      <c r="M10" s="787"/>
      <c r="N10" s="377"/>
      <c r="O10" s="807" t="s">
        <v>899</v>
      </c>
      <c r="P10" s="807"/>
      <c r="Q10" s="807"/>
      <c r="R10" s="807"/>
      <c r="S10" s="807"/>
      <c r="T10" s="807"/>
      <c r="U10" s="807"/>
      <c r="V10" s="807"/>
      <c r="W10" s="807"/>
      <c r="Z10" s="686"/>
    </row>
    <row r="11" spans="1:26" ht="17.25" thickBot="1" x14ac:dyDescent="0.35">
      <c r="B11" s="377"/>
      <c r="C11" s="807" t="s">
        <v>879</v>
      </c>
      <c r="D11" s="807"/>
      <c r="E11" s="807"/>
      <c r="F11" s="807"/>
      <c r="G11" s="807"/>
      <c r="H11" s="807"/>
      <c r="I11" s="807"/>
      <c r="J11" s="807"/>
      <c r="K11" s="807"/>
      <c r="L11" s="807"/>
      <c r="M11" s="787"/>
      <c r="N11" s="377"/>
      <c r="O11" s="807" t="s">
        <v>901</v>
      </c>
      <c r="P11" s="807"/>
      <c r="Q11" s="807"/>
      <c r="R11" s="807"/>
      <c r="S11" s="807"/>
      <c r="T11" s="807"/>
      <c r="U11" s="807"/>
      <c r="V11" s="807"/>
      <c r="W11" s="807"/>
      <c r="Z11" s="686"/>
    </row>
    <row r="12" spans="1:26" ht="17.25" thickBot="1" x14ac:dyDescent="0.35">
      <c r="B12" s="378"/>
      <c r="C12" s="684" t="s">
        <v>829</v>
      </c>
      <c r="D12" s="787"/>
      <c r="E12" s="787"/>
      <c r="F12" s="787"/>
      <c r="G12" s="787"/>
      <c r="H12" s="787"/>
      <c r="I12" s="787"/>
      <c r="J12" s="787"/>
      <c r="K12" s="787"/>
      <c r="L12" s="787"/>
      <c r="M12" s="787"/>
      <c r="N12" s="377"/>
      <c r="O12" s="807" t="s">
        <v>900</v>
      </c>
      <c r="P12" s="807"/>
      <c r="Q12" s="807"/>
      <c r="R12" s="807"/>
      <c r="S12" s="807"/>
      <c r="T12" s="807"/>
      <c r="U12" s="807"/>
      <c r="V12" s="807"/>
      <c r="W12" s="807"/>
      <c r="Z12" s="686"/>
    </row>
    <row r="13" spans="1:26" ht="17.25" thickBot="1" x14ac:dyDescent="0.35">
      <c r="B13" s="377"/>
      <c r="C13" s="807" t="s">
        <v>880</v>
      </c>
      <c r="D13" s="807"/>
      <c r="E13" s="807"/>
      <c r="F13" s="807"/>
      <c r="G13" s="807"/>
      <c r="H13" s="807"/>
      <c r="I13" s="807"/>
      <c r="J13" s="807"/>
      <c r="K13" s="807"/>
      <c r="L13" s="807"/>
      <c r="M13" s="787"/>
      <c r="N13" s="377"/>
      <c r="O13" s="807" t="s">
        <v>902</v>
      </c>
      <c r="P13" s="807"/>
      <c r="Q13" s="807"/>
      <c r="R13" s="807"/>
      <c r="S13" s="807"/>
      <c r="T13" s="807"/>
      <c r="U13" s="807"/>
      <c r="V13" s="807"/>
      <c r="W13" s="807"/>
      <c r="Z13" s="686"/>
    </row>
    <row r="14" spans="1:26" ht="17.25" thickBot="1" x14ac:dyDescent="0.35">
      <c r="B14" s="377"/>
      <c r="C14" s="807" t="s">
        <v>886</v>
      </c>
      <c r="D14" s="807"/>
      <c r="E14" s="807"/>
      <c r="F14" s="807"/>
      <c r="G14" s="807"/>
      <c r="H14" s="807"/>
      <c r="I14" s="807"/>
      <c r="J14" s="807"/>
      <c r="K14" s="807"/>
      <c r="L14" s="807"/>
      <c r="M14" s="787"/>
      <c r="N14" s="377"/>
      <c r="O14" s="807" t="s">
        <v>903</v>
      </c>
      <c r="P14" s="807"/>
      <c r="Q14" s="807"/>
      <c r="R14" s="807"/>
      <c r="S14" s="807"/>
      <c r="T14" s="807"/>
      <c r="U14" s="807"/>
      <c r="V14" s="807"/>
      <c r="W14" s="807"/>
      <c r="Z14" s="686"/>
    </row>
    <row r="15" spans="1:26" ht="17.25" thickBot="1" x14ac:dyDescent="0.35">
      <c r="B15" s="378"/>
      <c r="C15" s="684" t="s">
        <v>196</v>
      </c>
      <c r="D15" s="787"/>
      <c r="E15" s="787"/>
      <c r="F15" s="787"/>
      <c r="G15" s="787"/>
      <c r="H15" s="787"/>
      <c r="I15" s="787"/>
      <c r="J15" s="787"/>
      <c r="K15" s="787"/>
      <c r="L15" s="787"/>
      <c r="M15" s="787"/>
      <c r="N15" s="377"/>
      <c r="O15" s="807" t="s">
        <v>904</v>
      </c>
      <c r="P15" s="807"/>
      <c r="Q15" s="807"/>
      <c r="R15" s="807"/>
      <c r="S15" s="807"/>
      <c r="T15" s="807"/>
      <c r="U15" s="807"/>
      <c r="V15" s="807"/>
      <c r="W15" s="807"/>
      <c r="Z15" s="686"/>
    </row>
    <row r="16" spans="1:26" ht="17.25" thickBot="1" x14ac:dyDescent="0.35">
      <c r="B16" s="377"/>
      <c r="C16" s="807" t="s">
        <v>881</v>
      </c>
      <c r="D16" s="807"/>
      <c r="E16" s="807"/>
      <c r="F16" s="807"/>
      <c r="G16" s="807"/>
      <c r="H16" s="807"/>
      <c r="I16" s="807"/>
      <c r="J16" s="807"/>
      <c r="K16" s="807"/>
      <c r="L16" s="807"/>
      <c r="M16" s="787"/>
      <c r="N16" s="378"/>
      <c r="O16" s="684" t="s">
        <v>832</v>
      </c>
      <c r="P16" s="787"/>
      <c r="Q16" s="787"/>
      <c r="R16" s="787"/>
      <c r="S16" s="787"/>
      <c r="T16" s="787"/>
      <c r="U16" s="787"/>
      <c r="V16" s="787"/>
      <c r="W16" s="787"/>
    </row>
    <row r="17" spans="2:26" ht="17.25" thickBot="1" x14ac:dyDescent="0.35">
      <c r="B17" s="377"/>
      <c r="C17" s="807" t="s">
        <v>882</v>
      </c>
      <c r="D17" s="807"/>
      <c r="E17" s="807"/>
      <c r="F17" s="807"/>
      <c r="G17" s="807"/>
      <c r="H17" s="807"/>
      <c r="I17" s="807"/>
      <c r="J17" s="807"/>
      <c r="K17" s="807"/>
      <c r="L17" s="807"/>
      <c r="M17" s="787"/>
      <c r="N17" s="377"/>
      <c r="O17" s="807" t="s">
        <v>905</v>
      </c>
      <c r="P17" s="807"/>
      <c r="Q17" s="807"/>
      <c r="R17" s="807"/>
      <c r="S17" s="807"/>
      <c r="T17" s="807"/>
      <c r="U17" s="807"/>
      <c r="V17" s="807"/>
      <c r="W17" s="807"/>
      <c r="Z17" s="686"/>
    </row>
    <row r="18" spans="2:26" ht="17.25" thickBot="1" x14ac:dyDescent="0.35">
      <c r="B18" s="377"/>
      <c r="C18" s="807" t="s">
        <v>894</v>
      </c>
      <c r="D18" s="807"/>
      <c r="E18" s="807"/>
      <c r="F18" s="807"/>
      <c r="G18" s="807"/>
      <c r="H18" s="807"/>
      <c r="I18" s="807"/>
      <c r="J18" s="807"/>
      <c r="K18" s="807"/>
      <c r="L18" s="807"/>
      <c r="M18" s="787"/>
      <c r="N18" s="378"/>
      <c r="O18" s="684" t="s">
        <v>833</v>
      </c>
      <c r="P18" s="787"/>
      <c r="Q18" s="787"/>
      <c r="R18" s="787"/>
      <c r="S18" s="787"/>
      <c r="T18" s="787"/>
      <c r="U18" s="787"/>
      <c r="V18" s="787"/>
      <c r="W18" s="787"/>
    </row>
    <row r="19" spans="2:26" ht="17.25" thickBot="1" x14ac:dyDescent="0.35">
      <c r="B19" s="377"/>
      <c r="C19" s="807" t="s">
        <v>883</v>
      </c>
      <c r="D19" s="807"/>
      <c r="E19" s="807"/>
      <c r="F19" s="807"/>
      <c r="G19" s="807"/>
      <c r="H19" s="807"/>
      <c r="I19" s="807"/>
      <c r="J19" s="807"/>
      <c r="K19" s="807"/>
      <c r="L19" s="807"/>
      <c r="M19" s="787"/>
      <c r="N19" s="377"/>
      <c r="O19" s="807" t="s">
        <v>906</v>
      </c>
      <c r="P19" s="807"/>
      <c r="Q19" s="807"/>
      <c r="R19" s="807"/>
      <c r="S19" s="807"/>
      <c r="T19" s="807"/>
      <c r="U19" s="807"/>
      <c r="V19" s="807"/>
      <c r="W19" s="807"/>
      <c r="Z19" s="686"/>
    </row>
    <row r="20" spans="2:26" ht="17.25" thickBot="1" x14ac:dyDescent="0.35">
      <c r="B20" s="377"/>
      <c r="C20" s="807" t="s">
        <v>887</v>
      </c>
      <c r="D20" s="807"/>
      <c r="E20" s="807"/>
      <c r="F20" s="807"/>
      <c r="G20" s="807"/>
      <c r="H20" s="807"/>
      <c r="I20" s="807"/>
      <c r="J20" s="807"/>
      <c r="K20" s="807"/>
      <c r="L20" s="807"/>
      <c r="M20" s="787"/>
      <c r="N20" s="787"/>
      <c r="O20" s="787"/>
      <c r="P20" s="787"/>
      <c r="Q20" s="787"/>
      <c r="R20" s="787"/>
      <c r="S20" s="787"/>
      <c r="T20" s="787"/>
      <c r="U20" s="787"/>
      <c r="V20" s="787"/>
      <c r="W20" s="787"/>
    </row>
    <row r="21" spans="2:26" ht="17.25" thickBot="1" x14ac:dyDescent="0.35">
      <c r="B21" s="378"/>
      <c r="C21" s="684" t="s">
        <v>830</v>
      </c>
      <c r="D21" s="787"/>
      <c r="E21" s="787"/>
      <c r="F21" s="787"/>
      <c r="G21" s="787"/>
      <c r="H21" s="787"/>
      <c r="I21" s="787"/>
      <c r="J21" s="787"/>
      <c r="K21" s="787"/>
      <c r="L21" s="787"/>
      <c r="M21" s="787"/>
      <c r="N21" s="787"/>
      <c r="O21" s="787"/>
      <c r="P21" s="787"/>
      <c r="Q21" s="787"/>
      <c r="R21" s="787"/>
      <c r="S21" s="787"/>
      <c r="T21" s="787"/>
      <c r="U21" s="787"/>
      <c r="V21" s="787"/>
      <c r="W21" s="787"/>
    </row>
    <row r="22" spans="2:26" ht="17.25" thickBot="1" x14ac:dyDescent="0.35">
      <c r="B22" s="377"/>
      <c r="C22" s="807" t="s">
        <v>888</v>
      </c>
      <c r="D22" s="807"/>
      <c r="E22" s="807"/>
      <c r="F22" s="807"/>
      <c r="G22" s="807"/>
      <c r="H22" s="807"/>
      <c r="I22" s="807"/>
      <c r="J22" s="807"/>
      <c r="K22" s="807"/>
      <c r="L22" s="807"/>
      <c r="M22" s="787"/>
      <c r="N22" s="787"/>
      <c r="O22" s="787"/>
      <c r="P22" s="787"/>
      <c r="Q22" s="787"/>
      <c r="R22" s="787"/>
      <c r="S22" s="787"/>
      <c r="T22" s="787"/>
      <c r="U22" s="787"/>
      <c r="V22" s="787"/>
      <c r="W22" s="787"/>
    </row>
    <row r="23" spans="2:26" ht="17.25" thickBot="1" x14ac:dyDescent="0.35">
      <c r="B23" s="377"/>
      <c r="C23" s="807" t="s">
        <v>891</v>
      </c>
      <c r="D23" s="807"/>
      <c r="E23" s="807"/>
      <c r="F23" s="807"/>
      <c r="G23" s="807"/>
      <c r="H23" s="807"/>
      <c r="I23" s="807"/>
      <c r="J23" s="807"/>
      <c r="K23" s="807"/>
      <c r="L23" s="807"/>
      <c r="M23" s="787"/>
      <c r="N23" s="787"/>
      <c r="O23" s="787"/>
      <c r="P23" s="787"/>
      <c r="Q23" s="787"/>
      <c r="R23" s="787"/>
      <c r="S23" s="787"/>
      <c r="T23" s="787"/>
      <c r="U23" s="787"/>
      <c r="V23" s="787"/>
      <c r="W23" s="787"/>
    </row>
    <row r="24" spans="2:26" ht="17.25" thickBot="1" x14ac:dyDescent="0.35">
      <c r="B24" s="377"/>
      <c r="C24" s="807" t="s">
        <v>892</v>
      </c>
      <c r="D24" s="807"/>
      <c r="E24" s="807"/>
      <c r="F24" s="807"/>
      <c r="G24" s="807"/>
      <c r="H24" s="807"/>
      <c r="I24" s="807"/>
      <c r="J24" s="807"/>
      <c r="K24" s="807"/>
      <c r="L24" s="807"/>
      <c r="M24" s="787"/>
      <c r="N24" s="787"/>
      <c r="O24" s="787"/>
      <c r="P24" s="787"/>
      <c r="Q24" s="787"/>
      <c r="R24" s="787"/>
      <c r="S24" s="787"/>
      <c r="T24" s="787"/>
      <c r="U24" s="787"/>
      <c r="V24" s="787"/>
      <c r="W24" s="787"/>
    </row>
    <row r="25" spans="2:26" ht="17.25" thickBot="1" x14ac:dyDescent="0.35">
      <c r="B25" s="377"/>
      <c r="C25" s="807" t="s">
        <v>893</v>
      </c>
      <c r="D25" s="807"/>
      <c r="E25" s="807"/>
      <c r="F25" s="807"/>
      <c r="G25" s="807"/>
      <c r="H25" s="807"/>
      <c r="I25" s="807"/>
      <c r="J25" s="807"/>
      <c r="K25" s="807"/>
      <c r="L25" s="807"/>
      <c r="M25" s="787"/>
      <c r="N25" s="787"/>
      <c r="O25" s="787"/>
      <c r="P25" s="787"/>
      <c r="Q25" s="787"/>
      <c r="R25" s="787"/>
      <c r="S25" s="787"/>
      <c r="T25" s="787"/>
      <c r="U25" s="787"/>
      <c r="V25" s="787"/>
      <c r="W25" s="787"/>
    </row>
    <row r="26" spans="2:26" ht="17.25" thickBot="1" x14ac:dyDescent="0.35">
      <c r="B26" s="377"/>
      <c r="C26" s="807" t="s">
        <v>890</v>
      </c>
      <c r="D26" s="807"/>
      <c r="E26" s="807"/>
      <c r="F26" s="807"/>
      <c r="G26" s="807"/>
      <c r="H26" s="807"/>
      <c r="I26" s="807"/>
      <c r="J26" s="807"/>
      <c r="K26" s="807"/>
      <c r="L26" s="807"/>
      <c r="M26" s="787"/>
      <c r="N26" s="787"/>
      <c r="O26" s="787"/>
      <c r="P26" s="787"/>
      <c r="Q26" s="787"/>
      <c r="R26" s="787"/>
      <c r="S26" s="787"/>
      <c r="T26" s="787"/>
      <c r="U26" s="787"/>
      <c r="V26" s="787"/>
      <c r="W26" s="787"/>
    </row>
    <row r="27" spans="2:26" ht="17.25" thickBot="1" x14ac:dyDescent="0.35">
      <c r="B27" s="377"/>
      <c r="C27" s="807" t="s">
        <v>889</v>
      </c>
      <c r="D27" s="807"/>
      <c r="E27" s="807"/>
      <c r="F27" s="807"/>
      <c r="G27" s="807"/>
      <c r="H27" s="807"/>
      <c r="I27" s="807"/>
      <c r="J27" s="807"/>
      <c r="K27" s="807"/>
      <c r="L27" s="807"/>
      <c r="M27" s="787"/>
      <c r="N27" s="787"/>
      <c r="O27" s="787"/>
      <c r="P27" s="787"/>
      <c r="Q27" s="787"/>
      <c r="R27" s="787"/>
      <c r="S27" s="787"/>
      <c r="T27" s="787"/>
      <c r="U27" s="787"/>
      <c r="V27" s="787"/>
      <c r="W27" s="787"/>
    </row>
    <row r="28" spans="2:26" ht="17.25" thickBot="1" x14ac:dyDescent="0.35">
      <c r="B28" s="377"/>
      <c r="C28" s="807" t="s">
        <v>915</v>
      </c>
      <c r="D28" s="807"/>
      <c r="E28" s="807"/>
      <c r="F28" s="807"/>
      <c r="G28" s="807"/>
      <c r="H28" s="807"/>
      <c r="I28" s="807"/>
      <c r="J28" s="807"/>
      <c r="K28" s="807"/>
      <c r="L28" s="807"/>
      <c r="M28" s="787"/>
      <c r="N28" s="787"/>
      <c r="O28" s="787"/>
      <c r="P28" s="787"/>
      <c r="Q28" s="787"/>
      <c r="R28" s="787"/>
      <c r="S28" s="787"/>
      <c r="T28" s="787"/>
      <c r="U28" s="787"/>
      <c r="V28" s="787"/>
      <c r="W28" s="787"/>
    </row>
    <row r="29" spans="2:26" s="791" customFormat="1" x14ac:dyDescent="0.25">
      <c r="B29" s="789"/>
      <c r="C29" s="790"/>
      <c r="D29" s="790"/>
      <c r="E29" s="790"/>
      <c r="F29" s="790"/>
      <c r="G29" s="790"/>
      <c r="H29" s="790"/>
      <c r="I29" s="790"/>
      <c r="J29" s="790"/>
      <c r="K29" s="790"/>
      <c r="L29" s="790"/>
    </row>
    <row r="31" spans="2:26" ht="19.5" thickBot="1" x14ac:dyDescent="0.35">
      <c r="B31" s="809" t="s">
        <v>1351</v>
      </c>
      <c r="C31" s="809"/>
      <c r="D31" s="809"/>
      <c r="E31" s="809"/>
      <c r="F31" s="809"/>
      <c r="G31" s="809"/>
      <c r="H31" s="809"/>
      <c r="I31" s="809"/>
      <c r="J31" s="809"/>
      <c r="K31" s="809"/>
      <c r="L31" s="809"/>
      <c r="M31" s="809"/>
      <c r="N31" s="809"/>
      <c r="O31" s="809"/>
      <c r="P31" s="376"/>
      <c r="Q31" s="376"/>
      <c r="R31" s="787"/>
      <c r="S31" s="787"/>
      <c r="T31" s="787"/>
      <c r="U31" s="787"/>
      <c r="V31" s="787"/>
      <c r="W31" s="787"/>
    </row>
    <row r="32" spans="2:26" ht="17.25" thickBot="1" x14ac:dyDescent="0.35">
      <c r="B32" s="378"/>
      <c r="C32" s="810" t="s">
        <v>1352</v>
      </c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787"/>
      <c r="O32" s="787"/>
      <c r="P32" s="787"/>
      <c r="Q32" s="787"/>
      <c r="R32" s="787"/>
      <c r="S32" s="787"/>
      <c r="T32" s="787"/>
      <c r="U32" s="787"/>
      <c r="V32" s="787"/>
      <c r="W32" s="787"/>
    </row>
    <row r="33" spans="2:23" ht="17.25" thickBot="1" x14ac:dyDescent="0.35">
      <c r="B33" s="377"/>
      <c r="C33" s="807" t="s">
        <v>1437</v>
      </c>
      <c r="D33" s="807"/>
      <c r="E33" s="807"/>
      <c r="F33" s="807"/>
      <c r="G33" s="807"/>
      <c r="H33" s="807"/>
      <c r="I33" s="807"/>
      <c r="J33" s="807"/>
      <c r="K33" s="807"/>
      <c r="L33" s="807"/>
      <c r="M33" s="787"/>
      <c r="N33" s="787"/>
      <c r="O33" s="787"/>
      <c r="P33" s="787"/>
      <c r="Q33" s="787"/>
      <c r="R33" s="787"/>
      <c r="S33" s="787"/>
      <c r="T33" s="787"/>
      <c r="U33" s="787"/>
      <c r="V33" s="787"/>
      <c r="W33" s="787"/>
    </row>
    <row r="34" spans="2:23" ht="17.25" thickBot="1" x14ac:dyDescent="0.35">
      <c r="B34" s="378"/>
      <c r="C34" s="684" t="s">
        <v>1353</v>
      </c>
      <c r="D34" s="787"/>
      <c r="E34" s="787"/>
      <c r="F34" s="788"/>
      <c r="G34" s="788"/>
      <c r="H34" s="788"/>
      <c r="I34" s="788"/>
      <c r="J34" s="788"/>
      <c r="K34" s="788"/>
      <c r="L34" s="788"/>
      <c r="M34" s="788"/>
      <c r="N34" s="378"/>
      <c r="O34" s="684" t="s">
        <v>1357</v>
      </c>
      <c r="P34" s="787"/>
      <c r="Q34" s="787"/>
      <c r="R34" s="787"/>
      <c r="S34" s="787"/>
      <c r="T34" s="787"/>
      <c r="U34" s="787"/>
      <c r="V34" s="787"/>
      <c r="W34" s="787"/>
    </row>
    <row r="35" spans="2:23" ht="17.25" thickBot="1" x14ac:dyDescent="0.35">
      <c r="B35" s="377"/>
      <c r="C35" s="807" t="s">
        <v>1438</v>
      </c>
      <c r="D35" s="807"/>
      <c r="E35" s="807"/>
      <c r="F35" s="807"/>
      <c r="G35" s="787"/>
      <c r="H35" s="787"/>
      <c r="I35" s="787"/>
      <c r="J35" s="787"/>
      <c r="K35" s="787"/>
      <c r="L35" s="787"/>
      <c r="M35" s="787"/>
      <c r="N35" s="377"/>
      <c r="O35" s="807" t="s">
        <v>1464</v>
      </c>
      <c r="P35" s="807"/>
      <c r="Q35" s="807"/>
      <c r="R35" s="807"/>
      <c r="S35" s="807"/>
      <c r="T35" s="807"/>
      <c r="U35" s="807"/>
      <c r="V35" s="807"/>
      <c r="W35" s="807"/>
    </row>
    <row r="36" spans="2:23" ht="15.75" thickBot="1" x14ac:dyDescent="0.3">
      <c r="B36" s="377"/>
      <c r="C36" s="807" t="s">
        <v>1482</v>
      </c>
      <c r="D36" s="807"/>
      <c r="E36" s="807"/>
      <c r="F36" s="807"/>
      <c r="G36" s="807"/>
      <c r="H36" s="807"/>
      <c r="I36" s="807"/>
      <c r="J36" s="807"/>
      <c r="K36" s="807"/>
      <c r="L36" s="788"/>
      <c r="M36" s="788"/>
      <c r="N36" s="377"/>
      <c r="O36" s="807" t="s">
        <v>1465</v>
      </c>
      <c r="P36" s="807"/>
      <c r="Q36" s="807"/>
      <c r="R36" s="807"/>
      <c r="S36" s="807"/>
      <c r="T36" s="807"/>
      <c r="U36" s="807"/>
      <c r="V36" s="807"/>
      <c r="W36" s="807"/>
    </row>
    <row r="37" spans="2:23" ht="17.25" thickBot="1" x14ac:dyDescent="0.35">
      <c r="B37" s="377"/>
      <c r="C37" s="807" t="s">
        <v>1441</v>
      </c>
      <c r="D37" s="807"/>
      <c r="E37" s="807"/>
      <c r="F37" s="807"/>
      <c r="G37" s="807"/>
      <c r="H37" s="807"/>
      <c r="I37" s="807"/>
      <c r="J37" s="807"/>
      <c r="K37" s="807"/>
      <c r="L37" s="807"/>
      <c r="M37" s="787"/>
      <c r="N37" s="377"/>
      <c r="O37" s="807" t="s">
        <v>1458</v>
      </c>
      <c r="P37" s="807"/>
      <c r="Q37" s="807"/>
      <c r="R37" s="807"/>
      <c r="S37" s="807"/>
      <c r="T37" s="807"/>
      <c r="U37" s="807"/>
      <c r="V37" s="807"/>
      <c r="W37" s="807"/>
    </row>
    <row r="38" spans="2:23" ht="17.25" thickBot="1" x14ac:dyDescent="0.35">
      <c r="B38" s="377"/>
      <c r="C38" s="807" t="s">
        <v>1442</v>
      </c>
      <c r="D38" s="807"/>
      <c r="E38" s="807"/>
      <c r="F38" s="807"/>
      <c r="G38" s="807"/>
      <c r="H38" s="807"/>
      <c r="I38" s="807"/>
      <c r="J38" s="807"/>
      <c r="K38" s="807"/>
      <c r="L38" s="807"/>
      <c r="M38" s="787"/>
      <c r="N38" s="377"/>
      <c r="O38" s="807" t="s">
        <v>1463</v>
      </c>
      <c r="P38" s="807"/>
      <c r="Q38" s="807"/>
      <c r="R38" s="807"/>
      <c r="S38" s="807"/>
      <c r="T38" s="807"/>
      <c r="U38" s="807"/>
      <c r="V38" s="807"/>
      <c r="W38" s="807"/>
    </row>
    <row r="39" spans="2:23" ht="17.25" thickBot="1" x14ac:dyDescent="0.35">
      <c r="B39" s="377"/>
      <c r="C39" s="807" t="s">
        <v>1443</v>
      </c>
      <c r="D39" s="807"/>
      <c r="E39" s="807"/>
      <c r="F39" s="807"/>
      <c r="G39" s="807"/>
      <c r="H39" s="807"/>
      <c r="I39" s="807"/>
      <c r="J39" s="807"/>
      <c r="K39" s="807"/>
      <c r="L39" s="807"/>
      <c r="M39" s="787"/>
      <c r="N39" s="377"/>
      <c r="O39" s="807" t="s">
        <v>1468</v>
      </c>
      <c r="P39" s="807"/>
      <c r="Q39" s="807"/>
      <c r="R39" s="807"/>
      <c r="S39" s="807"/>
      <c r="T39" s="807"/>
      <c r="U39" s="807"/>
      <c r="V39" s="807"/>
      <c r="W39" s="807"/>
    </row>
    <row r="40" spans="2:23" ht="17.25" thickBot="1" x14ac:dyDescent="0.35">
      <c r="B40" s="377"/>
      <c r="C40" s="807" t="s">
        <v>1444</v>
      </c>
      <c r="D40" s="807"/>
      <c r="E40" s="807"/>
      <c r="F40" s="807"/>
      <c r="G40" s="807"/>
      <c r="H40" s="807"/>
      <c r="I40" s="807"/>
      <c r="J40" s="807"/>
      <c r="K40" s="807"/>
      <c r="L40" s="807"/>
      <c r="M40" s="787"/>
      <c r="N40" s="377"/>
      <c r="O40" s="807" t="s">
        <v>1470</v>
      </c>
      <c r="P40" s="807"/>
      <c r="Q40" s="807"/>
      <c r="R40" s="807"/>
      <c r="S40" s="807"/>
      <c r="T40" s="807"/>
      <c r="U40" s="807"/>
      <c r="V40" s="807"/>
      <c r="W40" s="807"/>
    </row>
    <row r="41" spans="2:23" ht="17.25" thickBot="1" x14ac:dyDescent="0.35">
      <c r="B41" s="378"/>
      <c r="C41" s="684" t="s">
        <v>1356</v>
      </c>
      <c r="D41" s="787"/>
      <c r="E41" s="787"/>
      <c r="F41" s="787"/>
      <c r="G41" s="787"/>
      <c r="H41" s="787"/>
      <c r="I41" s="787"/>
      <c r="J41" s="787"/>
      <c r="K41" s="787"/>
      <c r="L41" s="787"/>
      <c r="M41" s="787"/>
      <c r="N41" s="377"/>
      <c r="O41" s="807" t="s">
        <v>1474</v>
      </c>
      <c r="P41" s="807"/>
      <c r="Q41" s="807"/>
      <c r="R41" s="807"/>
      <c r="S41" s="807"/>
      <c r="T41" s="807"/>
      <c r="U41" s="807"/>
      <c r="V41" s="807"/>
      <c r="W41" s="807"/>
    </row>
    <row r="42" spans="2:23" ht="17.25" thickBot="1" x14ac:dyDescent="0.35">
      <c r="B42" s="377"/>
      <c r="C42" s="807" t="s">
        <v>1447</v>
      </c>
      <c r="D42" s="807"/>
      <c r="E42" s="807"/>
      <c r="F42" s="807"/>
      <c r="G42" s="807"/>
      <c r="H42" s="807"/>
      <c r="I42" s="807"/>
      <c r="J42" s="807"/>
      <c r="K42" s="807"/>
      <c r="L42" s="807"/>
      <c r="M42" s="787"/>
      <c r="N42" s="377"/>
      <c r="O42" s="807" t="s">
        <v>1475</v>
      </c>
      <c r="P42" s="807"/>
      <c r="Q42" s="807"/>
      <c r="R42" s="807"/>
      <c r="S42" s="807"/>
      <c r="T42" s="807"/>
      <c r="U42" s="807"/>
      <c r="V42" s="807"/>
      <c r="W42" s="807"/>
    </row>
    <row r="43" spans="2:23" ht="17.25" thickBot="1" x14ac:dyDescent="0.35">
      <c r="B43" s="377"/>
      <c r="C43" s="807" t="s">
        <v>1448</v>
      </c>
      <c r="D43" s="807"/>
      <c r="E43" s="807"/>
      <c r="F43" s="807"/>
      <c r="G43" s="807"/>
      <c r="H43" s="807"/>
      <c r="I43" s="807"/>
      <c r="J43" s="807"/>
      <c r="K43" s="807"/>
      <c r="L43" s="807"/>
      <c r="M43" s="787"/>
      <c r="N43" s="377"/>
      <c r="O43" s="807" t="s">
        <v>1476</v>
      </c>
      <c r="P43" s="807"/>
      <c r="Q43" s="807"/>
      <c r="R43" s="807"/>
      <c r="S43" s="807"/>
      <c r="T43" s="807"/>
      <c r="U43" s="807"/>
      <c r="V43" s="807"/>
      <c r="W43" s="807"/>
    </row>
    <row r="44" spans="2:23" ht="17.25" thickBot="1" x14ac:dyDescent="0.35">
      <c r="B44" s="378"/>
      <c r="C44" s="684" t="s">
        <v>1354</v>
      </c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N44" s="377"/>
      <c r="O44" s="807" t="s">
        <v>1477</v>
      </c>
      <c r="P44" s="807"/>
      <c r="Q44" s="807"/>
      <c r="R44" s="807"/>
      <c r="S44" s="807"/>
      <c r="T44" s="807"/>
      <c r="U44" s="807"/>
      <c r="V44" s="807"/>
      <c r="W44" s="807"/>
    </row>
    <row r="45" spans="2:23" ht="17.25" thickBot="1" x14ac:dyDescent="0.35">
      <c r="B45" s="377"/>
      <c r="C45" s="807" t="s">
        <v>1483</v>
      </c>
      <c r="D45" s="807"/>
      <c r="E45" s="807"/>
      <c r="F45" s="807"/>
      <c r="G45" s="807"/>
      <c r="H45" s="807"/>
      <c r="I45" s="807"/>
      <c r="J45" s="807"/>
      <c r="K45" s="807"/>
      <c r="L45" s="807"/>
      <c r="M45" s="787"/>
      <c r="N45" s="378"/>
      <c r="O45" s="684" t="s">
        <v>1478</v>
      </c>
      <c r="P45" s="787"/>
      <c r="Q45" s="787"/>
      <c r="R45" s="787"/>
      <c r="S45" s="787"/>
      <c r="T45" s="787"/>
      <c r="U45" s="787"/>
      <c r="V45" s="787"/>
      <c r="W45" s="787"/>
    </row>
    <row r="46" spans="2:23" ht="17.25" thickBot="1" x14ac:dyDescent="0.35">
      <c r="B46" s="377"/>
      <c r="C46" s="807" t="s">
        <v>1484</v>
      </c>
      <c r="D46" s="807"/>
      <c r="E46" s="807"/>
      <c r="F46" s="807"/>
      <c r="G46" s="807"/>
      <c r="H46" s="807"/>
      <c r="I46" s="807"/>
      <c r="J46" s="807"/>
      <c r="K46" s="807"/>
      <c r="L46" s="807"/>
      <c r="M46" s="787"/>
      <c r="N46" s="377"/>
      <c r="O46" s="808" t="s">
        <v>1479</v>
      </c>
      <c r="P46" s="807"/>
      <c r="Q46" s="807"/>
      <c r="R46" s="807"/>
      <c r="S46" s="807"/>
      <c r="T46" s="807"/>
      <c r="U46" s="807"/>
      <c r="V46" s="807"/>
      <c r="W46" s="807"/>
    </row>
    <row r="47" spans="2:23" ht="17.25" thickBot="1" x14ac:dyDescent="0.35">
      <c r="B47" s="377"/>
      <c r="C47" s="807" t="s">
        <v>1449</v>
      </c>
      <c r="D47" s="807"/>
      <c r="E47" s="807"/>
      <c r="F47" s="807"/>
      <c r="G47" s="807"/>
      <c r="H47" s="807"/>
      <c r="I47" s="807"/>
      <c r="J47" s="807"/>
      <c r="K47" s="807"/>
      <c r="L47" s="807"/>
      <c r="M47" s="787"/>
      <c r="N47" s="378"/>
      <c r="O47" s="684" t="s">
        <v>1481</v>
      </c>
      <c r="P47" s="787"/>
      <c r="Q47" s="787"/>
      <c r="R47" s="787"/>
      <c r="S47" s="787"/>
      <c r="T47" s="787"/>
      <c r="U47" s="787"/>
      <c r="V47" s="787"/>
      <c r="W47" s="787"/>
    </row>
    <row r="48" spans="2:23" ht="17.25" thickBot="1" x14ac:dyDescent="0.35">
      <c r="B48" s="377"/>
      <c r="C48" s="807" t="s">
        <v>1450</v>
      </c>
      <c r="D48" s="807"/>
      <c r="E48" s="807"/>
      <c r="F48" s="807"/>
      <c r="G48" s="807"/>
      <c r="H48" s="807"/>
      <c r="I48" s="807"/>
      <c r="J48" s="807"/>
      <c r="K48" s="807"/>
      <c r="L48" s="807"/>
      <c r="M48" s="787"/>
      <c r="N48" s="377"/>
      <c r="O48" s="807" t="s">
        <v>1480</v>
      </c>
      <c r="P48" s="807"/>
      <c r="Q48" s="807"/>
      <c r="R48" s="807"/>
      <c r="S48" s="807"/>
      <c r="T48" s="807"/>
      <c r="U48" s="807"/>
      <c r="V48" s="807"/>
      <c r="W48" s="807"/>
    </row>
    <row r="49" spans="2:23" ht="17.25" thickBot="1" x14ac:dyDescent="0.35">
      <c r="B49" s="377"/>
      <c r="C49" s="807" t="s">
        <v>1451</v>
      </c>
      <c r="D49" s="807"/>
      <c r="E49" s="807"/>
      <c r="F49" s="807"/>
      <c r="G49" s="807"/>
      <c r="H49" s="807"/>
      <c r="I49" s="807"/>
      <c r="J49" s="807"/>
      <c r="K49" s="807"/>
      <c r="L49" s="807"/>
      <c r="M49" s="787"/>
      <c r="N49" s="787"/>
      <c r="O49" s="787"/>
      <c r="P49" s="787"/>
      <c r="Q49" s="787"/>
      <c r="R49" s="787"/>
      <c r="S49" s="787"/>
      <c r="T49" s="787"/>
      <c r="U49" s="787"/>
      <c r="V49" s="787"/>
      <c r="W49" s="787"/>
    </row>
    <row r="50" spans="2:23" ht="17.25" thickBot="1" x14ac:dyDescent="0.35">
      <c r="B50" s="378"/>
      <c r="C50" s="684" t="s">
        <v>1355</v>
      </c>
      <c r="D50" s="787"/>
      <c r="E50" s="787"/>
      <c r="F50" s="787"/>
      <c r="G50" s="787"/>
      <c r="H50" s="787"/>
      <c r="I50" s="787"/>
      <c r="J50" s="787"/>
      <c r="K50" s="787"/>
      <c r="L50" s="787"/>
      <c r="M50" s="787"/>
      <c r="N50" s="787"/>
      <c r="O50" s="787"/>
      <c r="P50" s="787"/>
      <c r="Q50" s="787"/>
      <c r="R50" s="787"/>
      <c r="S50" s="787"/>
      <c r="T50" s="787"/>
      <c r="U50" s="787"/>
      <c r="V50" s="787"/>
      <c r="W50" s="787"/>
    </row>
    <row r="51" spans="2:23" ht="17.25" thickBot="1" x14ac:dyDescent="0.35">
      <c r="B51" s="377"/>
      <c r="C51" s="807" t="s">
        <v>1452</v>
      </c>
      <c r="D51" s="807"/>
      <c r="E51" s="807"/>
      <c r="F51" s="807"/>
      <c r="G51" s="807"/>
      <c r="H51" s="807"/>
      <c r="I51" s="807"/>
      <c r="J51" s="807"/>
      <c r="K51" s="807"/>
      <c r="L51" s="807"/>
      <c r="M51" s="787"/>
      <c r="N51" s="787"/>
      <c r="O51" s="787"/>
      <c r="P51" s="787"/>
      <c r="Q51" s="787"/>
      <c r="R51" s="787"/>
      <c r="S51" s="787"/>
      <c r="T51" s="787"/>
      <c r="U51" s="787"/>
      <c r="V51" s="787"/>
      <c r="W51" s="787"/>
    </row>
    <row r="52" spans="2:23" ht="17.25" thickBot="1" x14ac:dyDescent="0.35">
      <c r="B52" s="377"/>
      <c r="C52" s="807" t="s">
        <v>1453</v>
      </c>
      <c r="D52" s="807"/>
      <c r="E52" s="807"/>
      <c r="F52" s="807"/>
      <c r="G52" s="807"/>
      <c r="H52" s="807"/>
      <c r="I52" s="807"/>
      <c r="J52" s="807"/>
      <c r="K52" s="807"/>
      <c r="L52" s="807"/>
      <c r="M52" s="787"/>
      <c r="N52" s="787"/>
      <c r="O52" s="787"/>
      <c r="P52" s="787"/>
      <c r="Q52" s="787"/>
      <c r="R52" s="787"/>
      <c r="S52" s="787"/>
      <c r="T52" s="787"/>
      <c r="U52" s="787"/>
      <c r="V52" s="787"/>
      <c r="W52" s="787"/>
    </row>
    <row r="53" spans="2:23" ht="17.25" thickBot="1" x14ac:dyDescent="0.35">
      <c r="B53" s="377"/>
      <c r="C53" s="807" t="s">
        <v>1454</v>
      </c>
      <c r="D53" s="807"/>
      <c r="E53" s="807"/>
      <c r="F53" s="807"/>
      <c r="G53" s="807"/>
      <c r="H53" s="807"/>
      <c r="I53" s="807"/>
      <c r="J53" s="807"/>
      <c r="K53" s="807"/>
      <c r="L53" s="807"/>
      <c r="M53" s="787"/>
      <c r="N53" s="787"/>
      <c r="O53" s="787"/>
      <c r="P53" s="787"/>
      <c r="Q53" s="787"/>
      <c r="R53" s="787"/>
      <c r="S53" s="787"/>
      <c r="T53" s="787"/>
      <c r="U53" s="787"/>
      <c r="V53" s="787"/>
      <c r="W53" s="787"/>
    </row>
    <row r="54" spans="2:23" ht="17.25" thickBot="1" x14ac:dyDescent="0.35">
      <c r="B54" s="377"/>
      <c r="C54" s="807" t="s">
        <v>1268</v>
      </c>
      <c r="D54" s="807"/>
      <c r="E54" s="807"/>
      <c r="F54" s="807"/>
      <c r="G54" s="807"/>
      <c r="H54" s="807"/>
      <c r="I54" s="807"/>
      <c r="J54" s="807"/>
      <c r="K54" s="807"/>
      <c r="L54" s="807"/>
      <c r="M54" s="787"/>
      <c r="N54" s="787"/>
      <c r="O54" s="787"/>
      <c r="P54" s="787"/>
      <c r="Q54" s="787"/>
      <c r="R54" s="787"/>
      <c r="S54" s="787"/>
      <c r="T54" s="787"/>
      <c r="U54" s="787"/>
      <c r="V54" s="787"/>
      <c r="W54" s="787"/>
    </row>
    <row r="55" spans="2:23" ht="17.25" thickBot="1" x14ac:dyDescent="0.35">
      <c r="B55" s="377"/>
      <c r="C55" s="807" t="s">
        <v>1455</v>
      </c>
      <c r="D55" s="807"/>
      <c r="E55" s="807"/>
      <c r="F55" s="807"/>
      <c r="G55" s="807"/>
      <c r="H55" s="807"/>
      <c r="I55" s="807"/>
      <c r="J55" s="807"/>
      <c r="K55" s="807"/>
      <c r="L55" s="807"/>
      <c r="M55" s="787"/>
      <c r="N55" s="787"/>
      <c r="O55" s="787"/>
      <c r="P55" s="787"/>
      <c r="Q55" s="787"/>
      <c r="R55" s="787"/>
      <c r="S55" s="787"/>
      <c r="T55" s="787"/>
      <c r="U55" s="787"/>
      <c r="V55" s="787"/>
      <c r="W55" s="787"/>
    </row>
    <row r="56" spans="2:23" ht="17.25" thickBot="1" x14ac:dyDescent="0.35">
      <c r="B56" s="377"/>
      <c r="C56" s="807" t="s">
        <v>1456</v>
      </c>
      <c r="D56" s="807"/>
      <c r="E56" s="807"/>
      <c r="F56" s="807"/>
      <c r="G56" s="807"/>
      <c r="H56" s="807"/>
      <c r="I56" s="807"/>
      <c r="J56" s="807"/>
      <c r="K56" s="807"/>
      <c r="L56" s="807"/>
      <c r="M56" s="787"/>
      <c r="N56" s="787"/>
      <c r="O56" s="787"/>
      <c r="P56" s="787"/>
      <c r="Q56" s="787"/>
      <c r="R56" s="787"/>
      <c r="S56" s="787"/>
      <c r="T56" s="787"/>
      <c r="U56" s="787"/>
      <c r="V56" s="787"/>
      <c r="W56" s="787"/>
    </row>
    <row r="57" spans="2:23" ht="17.25" thickBot="1" x14ac:dyDescent="0.35">
      <c r="B57" s="377"/>
      <c r="C57" s="807" t="s">
        <v>1457</v>
      </c>
      <c r="D57" s="807"/>
      <c r="E57" s="807"/>
      <c r="F57" s="807"/>
      <c r="G57" s="807"/>
      <c r="H57" s="807"/>
      <c r="I57" s="807"/>
      <c r="J57" s="807"/>
      <c r="K57" s="807"/>
      <c r="L57" s="807"/>
      <c r="M57" s="787"/>
      <c r="N57" s="787"/>
      <c r="O57" s="787"/>
      <c r="P57" s="787"/>
      <c r="Q57" s="787"/>
      <c r="R57" s="787"/>
      <c r="S57" s="787"/>
      <c r="T57" s="787"/>
      <c r="U57" s="787"/>
      <c r="V57" s="787"/>
      <c r="W57" s="787"/>
    </row>
  </sheetData>
  <mergeCells count="70">
    <mergeCell ref="C10:L10"/>
    <mergeCell ref="C11:L11"/>
    <mergeCell ref="C13:L13"/>
    <mergeCell ref="B2:O2"/>
    <mergeCell ref="C3:M3"/>
    <mergeCell ref="C6:F6"/>
    <mergeCell ref="C4:L4"/>
    <mergeCell ref="O6:W6"/>
    <mergeCell ref="O7:W7"/>
    <mergeCell ref="O8:W8"/>
    <mergeCell ref="O9:W9"/>
    <mergeCell ref="O10:W10"/>
    <mergeCell ref="O11:W11"/>
    <mergeCell ref="C26:L26"/>
    <mergeCell ref="C27:L27"/>
    <mergeCell ref="C28:L28"/>
    <mergeCell ref="C7:K7"/>
    <mergeCell ref="C20:L20"/>
    <mergeCell ref="C22:L22"/>
    <mergeCell ref="C23:L23"/>
    <mergeCell ref="C24:L24"/>
    <mergeCell ref="C25:L25"/>
    <mergeCell ref="C14:L14"/>
    <mergeCell ref="C16:L16"/>
    <mergeCell ref="C17:L17"/>
    <mergeCell ref="C18:L18"/>
    <mergeCell ref="C19:L19"/>
    <mergeCell ref="C8:L8"/>
    <mergeCell ref="C9:L9"/>
    <mergeCell ref="O19:W19"/>
    <mergeCell ref="O12:W12"/>
    <mergeCell ref="O13:W13"/>
    <mergeCell ref="O14:W14"/>
    <mergeCell ref="O15:W15"/>
    <mergeCell ref="O17:W17"/>
    <mergeCell ref="B31:O31"/>
    <mergeCell ref="C32:M32"/>
    <mergeCell ref="C33:L33"/>
    <mergeCell ref="C35:F35"/>
    <mergeCell ref="O35:W35"/>
    <mergeCell ref="C36:K36"/>
    <mergeCell ref="O36:W36"/>
    <mergeCell ref="C37:L37"/>
    <mergeCell ref="O37:W37"/>
    <mergeCell ref="C38:L38"/>
    <mergeCell ref="O38:W38"/>
    <mergeCell ref="C39:L39"/>
    <mergeCell ref="O39:W39"/>
    <mergeCell ref="C40:L40"/>
    <mergeCell ref="O40:W40"/>
    <mergeCell ref="O41:W41"/>
    <mergeCell ref="C42:L42"/>
    <mergeCell ref="O42:W42"/>
    <mergeCell ref="C43:L43"/>
    <mergeCell ref="O43:W43"/>
    <mergeCell ref="O44:W44"/>
    <mergeCell ref="C45:L45"/>
    <mergeCell ref="C46:L46"/>
    <mergeCell ref="O46:W46"/>
    <mergeCell ref="C47:L47"/>
    <mergeCell ref="C48:L48"/>
    <mergeCell ref="O48:W48"/>
    <mergeCell ref="C55:L55"/>
    <mergeCell ref="C56:L56"/>
    <mergeCell ref="C57:L57"/>
    <mergeCell ref="C49:L49"/>
    <mergeCell ref="C51:L51"/>
    <mergeCell ref="C52:L52"/>
    <mergeCell ref="C53:L53"/>
    <mergeCell ref="C54:L54"/>
  </mergeCells>
  <hyperlinks>
    <hyperlink ref="C4" location="'Graf 1 + 2'!A1" tooltip="Graf 1 + 2" display="Graf 1 + 2"/>
    <hyperlink ref="C6" location="'Graf 3 + 4'!A1" tooltip="Graf 3 + 4" display="Graf 3 + 4"/>
    <hyperlink ref="C7" location="'Graf 5 + 6'!A1" tooltip="Graf 5 + 6" display="Graf 5 + 6"/>
    <hyperlink ref="C8" location="'Graf 7 + 8'!A1" tooltip="Graf 7 + 8" display="Graf 7 + 8"/>
    <hyperlink ref="C9" location="'Box 2_ Graf 9_ Tabuľka 1'!A1" tooltip="Box 2_ Graf 9_ Tabuľka 1" display="Box 2_ Graf 9_ Tabuľka 1"/>
    <hyperlink ref="C10" location="'Graf 10'!A1" tooltip="Graf 10" display="Graf 10"/>
    <hyperlink ref="C11" location="'Tabuľka 2'!A1" tooltip="Tabuľka 2" display="Tabuľka 2"/>
    <hyperlink ref="C13" location="'Graf 11 '!A1" tooltip="Graf 11 " display="Graf 11 "/>
    <hyperlink ref="C14" location="'Graf 12'!A1" tooltip="Graf 12" display="Graf 12"/>
    <hyperlink ref="C16" location="'Tabuľka 3'!A1" tooltip="Tabuľka 3" display="Tabuľka 3"/>
    <hyperlink ref="C17" location="'Tabuľka 4'!A1" tooltip="Tabuľka 4" display="Tabuľka 4"/>
    <hyperlink ref="C18" location="'BOX 3 _ graf 13 + 14 _ Tab5'!A1" tooltip="BOX 3 _ graf 13 + 14 _ Tab5" display="BOX 3 _ graf 13 + 14 _ Tab5"/>
    <hyperlink ref="C19" location="'Graf 15 + 16'!A1" tooltip="Graf 15 + 16" display="Graf 15 + 16"/>
    <hyperlink ref="C20" location="'Tab 6 + Graf 17 + 18'!A1" tooltip="Tab 6 + Graf 17 + 18" display="Tab 6 + Graf 17 + 18"/>
    <hyperlink ref="C22" location="'Graf 19'!A1" tooltip="Graf 19" display="Graf 19"/>
    <hyperlink ref="C23" location="'Graf 20'!A1" tooltip="Graf 20" display="Graf 20"/>
    <hyperlink ref="C24" location="'Graf 21'!A1" tooltip="Graf 21" display="Graf 21"/>
    <hyperlink ref="C25" location="'Graf 22'!A1" tooltip="Graf 22" display="Graf 22"/>
    <hyperlink ref="C26" location="'Tabuľka 7'!A1" tooltip="Tabuľka 7" display="Tabuľka 7"/>
    <hyperlink ref="C27" location="'Tabuľka 8'!A1" tooltip="Tabuľka 8" display="Tabuľka 8"/>
    <hyperlink ref="C28" location="'Graf 23+24+25+26'!A1" tooltip="Graf 23+24+25+26" display="Graf 23+24+25+26"/>
    <hyperlink ref="O6" location="'Tabuľka 9 '!A1" tooltip="Tabuľka 9 " display="Tabuľka 9 "/>
    <hyperlink ref="O7" location="'Tabuľka 10 +11+12'!A1" tooltip="Tabuľka 10 +11+12" display="Tabuľka 10 +11+12"/>
    <hyperlink ref="O8" location="'Tabuľka 13'!A1" tooltip="Tabuľka 13" display="Tabuľka 13"/>
    <hyperlink ref="O9" location="'Graf 27 + 28'!A1" tooltip="Graf 27 + 28" display="Graf 27 + 28"/>
    <hyperlink ref="O10" location="'Graf 29 + 30'!A1" tooltip="Graf 29 + 30" display="Graf 29 + 30"/>
    <hyperlink ref="O11" location="'Graf 31+32 '!A1" tooltip="Graf 31+32 " display="Graf 31+32 "/>
    <hyperlink ref="O12" location="'Graf 33+34'!A1" tooltip="Graf 33+34" display="Graf 33+34"/>
    <hyperlink ref="O13" location="'Graf 35 + 36'!A1" tooltip="Graf 35 + 36" display="Graf 35 + 36"/>
    <hyperlink ref="O14" location="'Graf 37 + Tabuľka 14'!A1" tooltip="Graf 37 + Tabuľka 14" display="Graf 37 + Tabuľka 14"/>
    <hyperlink ref="O15" location="'Tabuľka 15'!A1" tooltip="Tabuľka 15" display="Tabuľka 15"/>
    <hyperlink ref="O17" location="'Graf 38+39'!A1" tooltip="Graf 38+39" display="Graf 38+39"/>
    <hyperlink ref="O19" location="DRM!A1" display="DRM - "/>
    <hyperlink ref="C33" location="'Graf 1 + 2'!A1" tooltip="Graf 1 + 2" display="Graf 1 + 2"/>
    <hyperlink ref="C35" location="'Graf 3 + 4'!A1" tooltip="Graf 3 + 4" display="Graf 3 + 4"/>
    <hyperlink ref="C36" location="'Graf 5 + 6'!A1" tooltip="Graf 5 + 6" display="Graf 5 + 6"/>
    <hyperlink ref="C37" location="'Graf 7 + 8'!A1" tooltip="Graf 7 + 8" display="Graf 7 + 8"/>
    <hyperlink ref="C38" location="'Box 2_ Graf 9_ Tabuľka 1'!A1" tooltip="Box 2_ Graf 9_ Tabuľka 1" display="Box 2_ Graf 9_ Tabuľka 1"/>
    <hyperlink ref="C39" location="'Graf 10'!A1" tooltip="Graf 10" display="Graf 10"/>
    <hyperlink ref="C40" location="'Tabuľka 2'!A1" tooltip="Tabuľka 2" display="Tabuľka 2"/>
    <hyperlink ref="C42" location="'Graf 11 '!A1" tooltip="Graf 11 " display="Graf 11 "/>
    <hyperlink ref="C43" location="'Graf 12'!A1" tooltip="Graf 12" display="Graf 12"/>
    <hyperlink ref="C45" location="'Tabuľka 3'!A1" tooltip="Tabuľka 3" display="Tabuľka 3"/>
    <hyperlink ref="C46" location="'Tabuľka 4'!A1" tooltip="Tabuľka 4" display="Tabuľka 4"/>
    <hyperlink ref="C47" location="'BOX 3 _ graf 13 + 14 _ Tab5'!A1" tooltip="BOX 3 _ graf 13 + 14 _ Tab5" display="BOX 3 _ graf 13 + 14 _ Tab5"/>
    <hyperlink ref="C48" location="'Graf 15 + 16'!A1" tooltip="Graf 15 + 16" display="Graf 15 + 16"/>
    <hyperlink ref="C49" location="'Tab 6 + Graf 17 + 18'!A1" tooltip="Tab 6 + Graf 17 + 18" display="Tab 6 + Graf 17 + 18"/>
    <hyperlink ref="C51" location="'Graf 19'!A1" tooltip="Graf 19" display="Graf 19"/>
    <hyperlink ref="C52" location="'Graf 20'!A1" tooltip="Graf 20" display="Graf 20"/>
    <hyperlink ref="C53" location="'Graf 21'!A1" tooltip="Graf 21" display="Graf 21"/>
    <hyperlink ref="C54" location="'Graf 22'!A1" tooltip="Graf 22" display="Graf 22"/>
    <hyperlink ref="C55" location="'Tabuľka 7'!A1" tooltip="Tabuľka 7" display="Tabuľka 7"/>
    <hyperlink ref="C56" location="'Tabuľka 8'!A1" tooltip="Tabuľka 8" display="Tabuľka 8"/>
    <hyperlink ref="C57" location="'Graf 23+24+25+26'!A1" tooltip="Graf 23+24+25+26" display="Graf 23+24+25+26"/>
    <hyperlink ref="O35" location="'Tabuľka 9 '!A1" tooltip="Tabuľka 9 " display="Tabuľka 9 "/>
    <hyperlink ref="O36" location="'Tabuľka 10 +11+12'!A1" tooltip="Tabuľka 10 +11+12" display="Tabuľka 10 +11+12"/>
    <hyperlink ref="O37" location="'Tabuľka 13'!A1" tooltip="Tabuľka 13" display="Tabuľka 13"/>
    <hyperlink ref="O38" location="'Graf 27 + 28'!A1" tooltip="Graf 27 + 28" display="Graf 27 + 28"/>
    <hyperlink ref="O39" location="'Graf 29 + 30'!A1" tooltip="Graf 29 + 30" display="Graf 29 + 30"/>
    <hyperlink ref="O40" location="'Graf 31+32 '!A1" tooltip="Graf 31+32 " display="Graf 31+32 "/>
    <hyperlink ref="O41" location="'Graf 33+34'!A1" tooltip="Graf 33+34" display="Graf 33+34"/>
    <hyperlink ref="O42" location="'Graf 35 + 36'!A1" tooltip="Graf 35 + 36" display="Graf 35 + 36"/>
    <hyperlink ref="O43" location="'Graf 37 + Tabuľka 14'!A1" tooltip="Graf 37 + Tabuľka 14" display="Graf 37 + Tabuľka 14"/>
    <hyperlink ref="O44" location="'Tabuľka 15'!A1" tooltip="Tabuľka 15" display="Tabuľka 15"/>
    <hyperlink ref="O46" location="'Graf 38+39'!A1" tooltip="Graf 38+39" display="Graf 38+39"/>
    <hyperlink ref="O48" location="DRM!A1" display="DRM - "/>
  </hyperlink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5:Q51"/>
  <sheetViews>
    <sheetView showGridLines="0" zoomScaleNormal="100" workbookViewId="0">
      <selection activeCell="B27" sqref="B27:G27"/>
    </sheetView>
  </sheetViews>
  <sheetFormatPr defaultColWidth="9.140625" defaultRowHeight="12.75" x14ac:dyDescent="0.2"/>
  <cols>
    <col min="1" max="1" width="9.140625" style="160"/>
    <col min="2" max="2" width="7.85546875" style="160" customWidth="1"/>
    <col min="3" max="4" width="11.140625" style="160" customWidth="1"/>
    <col min="5" max="6" width="9.140625" style="160"/>
    <col min="7" max="7" width="51.5703125" style="160" customWidth="1"/>
    <col min="8" max="10" width="9.140625" style="160"/>
    <col min="11" max="11" width="53.42578125" style="160" bestFit="1" customWidth="1"/>
    <col min="12" max="12" width="53.42578125" style="160" customWidth="1"/>
    <col min="13" max="13" width="10.85546875" style="160" bestFit="1" customWidth="1"/>
    <col min="14" max="14" width="12.140625" style="160" customWidth="1"/>
    <col min="15" max="17" width="9.28515625" style="160" bestFit="1" customWidth="1"/>
    <col min="18" max="18" width="28.5703125" style="160" bestFit="1" customWidth="1"/>
    <col min="19" max="16384" width="9.140625" style="160"/>
  </cols>
  <sheetData>
    <row r="5" spans="2:17" ht="13.5" thickBot="1" x14ac:dyDescent="0.25">
      <c r="B5" s="822" t="s">
        <v>630</v>
      </c>
      <c r="C5" s="822"/>
      <c r="D5" s="822"/>
      <c r="E5" s="822"/>
      <c r="F5" s="822"/>
      <c r="G5" s="822"/>
      <c r="K5" s="161" t="s">
        <v>204</v>
      </c>
      <c r="L5" s="161"/>
      <c r="M5" s="162"/>
      <c r="N5" s="162"/>
      <c r="O5" s="162"/>
      <c r="P5" s="162"/>
      <c r="Q5" s="162"/>
    </row>
    <row r="6" spans="2:17" ht="33" customHeight="1" x14ac:dyDescent="0.2">
      <c r="K6" s="206" t="s">
        <v>1149</v>
      </c>
      <c r="L6" s="206"/>
      <c r="M6" s="207" t="s">
        <v>133</v>
      </c>
      <c r="N6" s="207" t="s">
        <v>134</v>
      </c>
      <c r="O6" s="207" t="s">
        <v>135</v>
      </c>
      <c r="P6" s="207" t="s">
        <v>136</v>
      </c>
      <c r="Q6" s="207" t="s">
        <v>137</v>
      </c>
    </row>
    <row r="7" spans="2:17" x14ac:dyDescent="0.2">
      <c r="B7" s="163"/>
      <c r="C7" s="164"/>
      <c r="K7" s="541" t="s">
        <v>346</v>
      </c>
      <c r="L7" s="737" t="s">
        <v>1150</v>
      </c>
      <c r="M7" s="542">
        <v>-742.81100000000151</v>
      </c>
      <c r="N7" s="208">
        <f>M7</f>
        <v>-742.81100000000151</v>
      </c>
      <c r="O7" s="209"/>
      <c r="P7" s="209"/>
      <c r="Q7" s="209">
        <f>M7</f>
        <v>-742.81100000000151</v>
      </c>
    </row>
    <row r="8" spans="2:17" x14ac:dyDescent="0.2">
      <c r="K8" s="543" t="s">
        <v>347</v>
      </c>
      <c r="L8" s="739" t="s">
        <v>1152</v>
      </c>
      <c r="M8" s="544">
        <v>399.996000000001</v>
      </c>
      <c r="N8" s="208">
        <f t="shared" ref="N8:N20" si="0">M8+N7</f>
        <v>-342.81500000000051</v>
      </c>
      <c r="O8" s="209">
        <f t="shared" ref="O8:O20" si="1">IF(AND(N7*M8&lt;0,ABS(M8)-ABS(N7)&gt;0),N7,0)</f>
        <v>0</v>
      </c>
      <c r="P8" s="209">
        <f t="shared" ref="P8:P20" si="2">IF(O8&lt;&gt;0,0,IF(N7*M8&gt;=0,N7,N7+M8))</f>
        <v>-342.81500000000051</v>
      </c>
      <c r="Q8" s="209">
        <f t="shared" ref="Q8:Q20" si="3">IF(AND(N7&lt;&gt;0,O8=0),IF(N7+M8&lt;0,-1,IF(N7&lt;0,-1,1))*ABS(M8)+O8,IF(N7+M8&lt;0,-1,1)*ABS(M8)+O8)</f>
        <v>-399.996000000001</v>
      </c>
    </row>
    <row r="9" spans="2:17" x14ac:dyDescent="0.2">
      <c r="K9" s="543" t="s">
        <v>626</v>
      </c>
      <c r="L9" s="739" t="s">
        <v>1153</v>
      </c>
      <c r="M9" s="544">
        <v>392.63600000000042</v>
      </c>
      <c r="N9" s="208">
        <f t="shared" si="0"/>
        <v>49.820999999999913</v>
      </c>
      <c r="O9" s="209">
        <f t="shared" si="1"/>
        <v>-342.81500000000051</v>
      </c>
      <c r="P9" s="209">
        <f t="shared" si="2"/>
        <v>0</v>
      </c>
      <c r="Q9" s="209">
        <f t="shared" si="3"/>
        <v>49.820999999999913</v>
      </c>
    </row>
    <row r="10" spans="2:17" x14ac:dyDescent="0.2">
      <c r="K10" s="543" t="s">
        <v>627</v>
      </c>
      <c r="L10" s="739" t="s">
        <v>1154</v>
      </c>
      <c r="M10" s="544">
        <v>383.80299999999988</v>
      </c>
      <c r="N10" s="208">
        <f t="shared" si="0"/>
        <v>433.6239999999998</v>
      </c>
      <c r="O10" s="209">
        <f t="shared" si="1"/>
        <v>0</v>
      </c>
      <c r="P10" s="209">
        <f t="shared" si="2"/>
        <v>49.820999999999913</v>
      </c>
      <c r="Q10" s="209">
        <f t="shared" si="3"/>
        <v>383.80299999999988</v>
      </c>
    </row>
    <row r="11" spans="2:17" x14ac:dyDescent="0.2">
      <c r="K11" s="543" t="s">
        <v>348</v>
      </c>
      <c r="L11" s="739" t="s">
        <v>1155</v>
      </c>
      <c r="M11" s="544">
        <v>295.78600000000006</v>
      </c>
      <c r="N11" s="208">
        <f t="shared" si="0"/>
        <v>729.40999999999985</v>
      </c>
      <c r="O11" s="209">
        <f t="shared" si="1"/>
        <v>0</v>
      </c>
      <c r="P11" s="209">
        <f t="shared" si="2"/>
        <v>433.6239999999998</v>
      </c>
      <c r="Q11" s="209">
        <f t="shared" si="3"/>
        <v>295.78600000000006</v>
      </c>
    </row>
    <row r="12" spans="2:17" x14ac:dyDescent="0.2">
      <c r="K12" s="543" t="s">
        <v>349</v>
      </c>
      <c r="L12" s="739" t="s">
        <v>1156</v>
      </c>
      <c r="M12" s="544">
        <v>42.490999999999929</v>
      </c>
      <c r="N12" s="208">
        <f t="shared" si="0"/>
        <v>771.90099999999984</v>
      </c>
      <c r="O12" s="209">
        <f t="shared" si="1"/>
        <v>0</v>
      </c>
      <c r="P12" s="209">
        <f t="shared" si="2"/>
        <v>729.40999999999985</v>
      </c>
      <c r="Q12" s="209">
        <f t="shared" si="3"/>
        <v>42.490999999999929</v>
      </c>
    </row>
    <row r="13" spans="2:17" x14ac:dyDescent="0.2">
      <c r="K13" s="543" t="s">
        <v>1157</v>
      </c>
      <c r="L13" s="739" t="s">
        <v>1158</v>
      </c>
      <c r="M13" s="544">
        <v>25.838999999999942</v>
      </c>
      <c r="N13" s="208">
        <f t="shared" si="0"/>
        <v>797.73999999999978</v>
      </c>
      <c r="O13" s="209">
        <f t="shared" si="1"/>
        <v>0</v>
      </c>
      <c r="P13" s="209">
        <f t="shared" si="2"/>
        <v>771.90099999999984</v>
      </c>
      <c r="Q13" s="209">
        <f t="shared" si="3"/>
        <v>25.838999999999942</v>
      </c>
    </row>
    <row r="14" spans="2:17" x14ac:dyDescent="0.2">
      <c r="K14" s="543" t="s">
        <v>350</v>
      </c>
      <c r="L14" s="739" t="s">
        <v>1159</v>
      </c>
      <c r="M14" s="544">
        <v>6.6310000000000855</v>
      </c>
      <c r="N14" s="208">
        <f t="shared" si="0"/>
        <v>804.37099999999987</v>
      </c>
      <c r="O14" s="209">
        <f t="shared" si="1"/>
        <v>0</v>
      </c>
      <c r="P14" s="209">
        <f t="shared" si="2"/>
        <v>797.73999999999978</v>
      </c>
      <c r="Q14" s="209">
        <f t="shared" si="3"/>
        <v>6.6310000000000855</v>
      </c>
    </row>
    <row r="15" spans="2:17" x14ac:dyDescent="0.2">
      <c r="K15" s="543" t="s">
        <v>353</v>
      </c>
      <c r="L15" s="739" t="s">
        <v>1160</v>
      </c>
      <c r="M15" s="544">
        <v>-27.225000000000364</v>
      </c>
      <c r="N15" s="208">
        <f t="shared" si="0"/>
        <v>777.1459999999995</v>
      </c>
      <c r="O15" s="209">
        <f t="shared" si="1"/>
        <v>0</v>
      </c>
      <c r="P15" s="209">
        <f t="shared" si="2"/>
        <v>777.1459999999995</v>
      </c>
      <c r="Q15" s="209">
        <f t="shared" si="3"/>
        <v>27.225000000000364</v>
      </c>
    </row>
    <row r="16" spans="2:17" x14ac:dyDescent="0.2">
      <c r="K16" s="543" t="s">
        <v>351</v>
      </c>
      <c r="L16" s="739" t="s">
        <v>1161</v>
      </c>
      <c r="M16" s="544">
        <v>-53.212999999999738</v>
      </c>
      <c r="N16" s="208">
        <f t="shared" si="0"/>
        <v>723.93299999999977</v>
      </c>
      <c r="O16" s="209">
        <f t="shared" si="1"/>
        <v>0</v>
      </c>
      <c r="P16" s="209">
        <f t="shared" si="2"/>
        <v>723.93299999999977</v>
      </c>
      <c r="Q16" s="209">
        <f t="shared" si="3"/>
        <v>53.212999999999738</v>
      </c>
    </row>
    <row r="17" spans="2:17" x14ac:dyDescent="0.2">
      <c r="K17" s="543" t="s">
        <v>352</v>
      </c>
      <c r="L17" s="739" t="s">
        <v>1165</v>
      </c>
      <c r="M17" s="544">
        <v>-120.50999999999931</v>
      </c>
      <c r="N17" s="208">
        <f t="shared" si="0"/>
        <v>603.42300000000046</v>
      </c>
      <c r="O17" s="209">
        <f t="shared" si="1"/>
        <v>0</v>
      </c>
      <c r="P17" s="209">
        <f t="shared" si="2"/>
        <v>603.42300000000046</v>
      </c>
      <c r="Q17" s="209">
        <f t="shared" si="3"/>
        <v>120.50999999999931</v>
      </c>
    </row>
    <row r="18" spans="2:17" x14ac:dyDescent="0.2">
      <c r="K18" s="543" t="s">
        <v>354</v>
      </c>
      <c r="L18" s="739" t="s">
        <v>1162</v>
      </c>
      <c r="M18" s="544">
        <v>-220.6569999999997</v>
      </c>
      <c r="N18" s="208">
        <f t="shared" si="0"/>
        <v>382.76600000000076</v>
      </c>
      <c r="O18" s="209">
        <f t="shared" si="1"/>
        <v>0</v>
      </c>
      <c r="P18" s="209">
        <f t="shared" si="2"/>
        <v>382.76600000000076</v>
      </c>
      <c r="Q18" s="209">
        <f t="shared" si="3"/>
        <v>220.6569999999997</v>
      </c>
    </row>
    <row r="19" spans="2:17" x14ac:dyDescent="0.2">
      <c r="K19" s="543" t="s">
        <v>628</v>
      </c>
      <c r="L19" s="739" t="s">
        <v>1163</v>
      </c>
      <c r="M19" s="544">
        <v>-276.78099999999995</v>
      </c>
      <c r="N19" s="208">
        <f t="shared" si="0"/>
        <v>105.98500000000081</v>
      </c>
      <c r="O19" s="209">
        <f t="shared" si="1"/>
        <v>0</v>
      </c>
      <c r="P19" s="209">
        <f t="shared" si="2"/>
        <v>105.98500000000081</v>
      </c>
      <c r="Q19" s="209">
        <f t="shared" si="3"/>
        <v>276.78099999999995</v>
      </c>
    </row>
    <row r="20" spans="2:17" x14ac:dyDescent="0.2">
      <c r="K20" s="543" t="s">
        <v>629</v>
      </c>
      <c r="L20" s="739" t="s">
        <v>1164</v>
      </c>
      <c r="M20" s="544">
        <v>-648.95199999999977</v>
      </c>
      <c r="N20" s="208">
        <f t="shared" si="0"/>
        <v>-542.96699999999896</v>
      </c>
      <c r="O20" s="209">
        <f t="shared" si="1"/>
        <v>105.98500000000081</v>
      </c>
      <c r="P20" s="209">
        <f t="shared" si="2"/>
        <v>0</v>
      </c>
      <c r="Q20" s="209">
        <f t="shared" si="3"/>
        <v>-542.96699999999896</v>
      </c>
    </row>
    <row r="21" spans="2:17" ht="13.5" thickBot="1" x14ac:dyDescent="0.25">
      <c r="K21" s="545" t="s">
        <v>355</v>
      </c>
      <c r="L21" s="738" t="s">
        <v>1151</v>
      </c>
      <c r="M21" s="546">
        <v>-542.96700000000419</v>
      </c>
      <c r="N21" s="211">
        <f>N7+SUM(M8:M20)</f>
        <v>-542.96699999999896</v>
      </c>
      <c r="O21" s="212"/>
      <c r="P21" s="212"/>
      <c r="Q21" s="210">
        <f>N21</f>
        <v>-542.96699999999896</v>
      </c>
    </row>
    <row r="27" spans="2:17" ht="13.5" thickBot="1" x14ac:dyDescent="0.25">
      <c r="B27" s="822" t="s">
        <v>1166</v>
      </c>
      <c r="C27" s="822"/>
      <c r="D27" s="822"/>
      <c r="E27" s="822"/>
      <c r="F27" s="822"/>
      <c r="G27" s="822"/>
    </row>
    <row r="50" spans="2:7" x14ac:dyDescent="0.2">
      <c r="B50" s="165"/>
      <c r="C50" s="165"/>
      <c r="D50" s="165"/>
      <c r="E50" s="165"/>
      <c r="F50" s="165"/>
      <c r="G50" s="165"/>
    </row>
    <row r="51" spans="2:7" x14ac:dyDescent="0.2">
      <c r="D51" s="166"/>
    </row>
  </sheetData>
  <mergeCells count="2">
    <mergeCell ref="B5:G5"/>
    <mergeCell ref="B27:G27"/>
  </mergeCells>
  <pageMargins left="0.7" right="0.7" top="0.75" bottom="0.75" header="0.3" footer="0.3"/>
  <pageSetup paperSize="9" orientation="portrait" r:id="rId1"/>
  <ignoredErrors>
    <ignoredError sqref="N7:Q21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B4:O46"/>
  <sheetViews>
    <sheetView showGridLines="0" zoomScaleNormal="100" zoomScaleSheetLayoutView="90" workbookViewId="0"/>
  </sheetViews>
  <sheetFormatPr defaultColWidth="9.140625" defaultRowHeight="12.75" x14ac:dyDescent="0.2"/>
  <cols>
    <col min="1" max="1" width="3.42578125" style="167" customWidth="1"/>
    <col min="2" max="2" width="43.42578125" style="167" customWidth="1"/>
    <col min="3" max="3" width="13.28515625" style="167" bestFit="1" customWidth="1"/>
    <col min="4" max="6" width="7.28515625" style="167" bestFit="1" customWidth="1"/>
    <col min="7" max="7" width="12.5703125" style="167" customWidth="1"/>
    <col min="8" max="8" width="21.7109375" style="167" customWidth="1"/>
    <col min="9" max="10" width="6.7109375" style="167" bestFit="1" customWidth="1"/>
    <col min="11" max="26" width="7.7109375" style="167" customWidth="1"/>
    <col min="27" max="27" width="6.28515625" style="167" bestFit="1" customWidth="1"/>
    <col min="28" max="31" width="7.140625" style="167" bestFit="1" customWidth="1"/>
    <col min="32" max="32" width="4.42578125" style="167" bestFit="1" customWidth="1"/>
    <col min="33" max="16384" width="9.140625" style="167"/>
  </cols>
  <sheetData>
    <row r="4" spans="2:1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7" t="s">
        <v>1446</v>
      </c>
      <c r="N4" s="6"/>
      <c r="O4" s="6"/>
    </row>
    <row r="5" spans="2:15" x14ac:dyDescent="0.2">
      <c r="B5" s="127" t="s">
        <v>1445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O5" s="6"/>
    </row>
    <row r="6" spans="2: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2:15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5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15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15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5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2:15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2:15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x14ac:dyDescent="0.2">
      <c r="B26" s="136"/>
      <c r="C26" s="136"/>
      <c r="D26" s="136"/>
      <c r="E26" s="136"/>
      <c r="F26" s="136"/>
      <c r="G26" s="136"/>
      <c r="H26" s="136"/>
      <c r="I26" s="6"/>
      <c r="J26" s="6"/>
      <c r="K26" s="6"/>
      <c r="L26" s="6"/>
      <c r="M26" s="6"/>
      <c r="N26" s="6"/>
      <c r="O26" s="6"/>
    </row>
    <row r="27" spans="2:15" x14ac:dyDescent="0.2">
      <c r="B27" s="136"/>
      <c r="C27" s="130">
        <v>2017</v>
      </c>
      <c r="D27" s="130">
        <v>2018</v>
      </c>
      <c r="E27" s="136"/>
      <c r="F27" s="136"/>
      <c r="G27" s="136"/>
      <c r="H27" s="136"/>
      <c r="I27" s="6"/>
      <c r="J27" s="6"/>
      <c r="K27" s="6"/>
      <c r="L27" s="6"/>
      <c r="M27" s="6"/>
      <c r="N27" s="6"/>
      <c r="O27" s="6"/>
    </row>
    <row r="28" spans="2:15" x14ac:dyDescent="0.2">
      <c r="B28" s="6" t="s">
        <v>818</v>
      </c>
      <c r="C28" s="529">
        <v>80.961280582558587</v>
      </c>
      <c r="D28" s="529">
        <v>426.9900734805903</v>
      </c>
      <c r="E28" s="529"/>
      <c r="F28" s="529"/>
      <c r="G28" s="136"/>
      <c r="H28" s="6"/>
      <c r="I28" s="11">
        <v>2017</v>
      </c>
      <c r="J28" s="11">
        <v>2018</v>
      </c>
      <c r="K28" s="6"/>
      <c r="L28" s="6"/>
      <c r="M28" s="6"/>
      <c r="N28" s="6"/>
      <c r="O28" s="6"/>
    </row>
    <row r="29" spans="2:15" x14ac:dyDescent="0.2">
      <c r="B29" s="6" t="s">
        <v>819</v>
      </c>
      <c r="C29" s="529">
        <v>156.17665355966605</v>
      </c>
      <c r="D29" s="529">
        <v>300.89842822782441</v>
      </c>
      <c r="E29" s="529"/>
      <c r="F29" s="529"/>
      <c r="G29" s="168" t="s">
        <v>935</v>
      </c>
      <c r="H29" s="135" t="s">
        <v>384</v>
      </c>
      <c r="I29" s="533">
        <v>-10.003241610000117</v>
      </c>
      <c r="J29" s="533">
        <v>112.54099999999988</v>
      </c>
    </row>
    <row r="30" spans="2:15" x14ac:dyDescent="0.2">
      <c r="B30" s="6" t="s">
        <v>820</v>
      </c>
      <c r="C30" s="529">
        <v>-1.99817340113924</v>
      </c>
      <c r="D30" s="529">
        <v>-4.764091454333669</v>
      </c>
      <c r="E30" s="529"/>
      <c r="F30" s="529"/>
      <c r="G30" s="168" t="s">
        <v>934</v>
      </c>
      <c r="H30" s="135" t="s">
        <v>381</v>
      </c>
      <c r="I30" s="533">
        <v>212.57900000000004</v>
      </c>
      <c r="J30" s="533">
        <v>122.61899999999977</v>
      </c>
    </row>
    <row r="31" spans="2:15" x14ac:dyDescent="0.2">
      <c r="B31" s="6" t="s">
        <v>821</v>
      </c>
      <c r="C31" s="529">
        <v>2.495511288914058</v>
      </c>
      <c r="D31" s="529">
        <v>222.88158974591926</v>
      </c>
      <c r="E31" s="529"/>
      <c r="F31" s="529"/>
      <c r="G31" s="168" t="s">
        <v>931</v>
      </c>
      <c r="H31" s="135" t="s">
        <v>382</v>
      </c>
      <c r="I31" s="533">
        <v>36.491211099997081</v>
      </c>
      <c r="J31" s="533">
        <v>245.09400000000093</v>
      </c>
    </row>
    <row r="32" spans="2:15" x14ac:dyDescent="0.2">
      <c r="B32" s="6" t="s">
        <v>387</v>
      </c>
      <c r="C32" s="531">
        <f>SUM(C28:C31)</f>
        <v>237.63527202999947</v>
      </c>
      <c r="D32" s="531">
        <f>SUM(D28:D31)</f>
        <v>946.00600000000031</v>
      </c>
      <c r="E32" s="529"/>
      <c r="F32" s="529"/>
      <c r="G32" s="530" t="s">
        <v>1428</v>
      </c>
      <c r="H32" s="135" t="s">
        <v>385</v>
      </c>
      <c r="I32" s="533">
        <v>33.106000000000066</v>
      </c>
      <c r="J32" s="533">
        <v>193.15199999999913</v>
      </c>
    </row>
    <row r="33" spans="2:10" x14ac:dyDescent="0.2">
      <c r="B33" s="528"/>
      <c r="C33" s="529"/>
      <c r="D33" s="529"/>
      <c r="E33" s="529"/>
      <c r="F33" s="529"/>
      <c r="G33" s="530" t="s">
        <v>1429</v>
      </c>
      <c r="H33" s="135" t="s">
        <v>822</v>
      </c>
      <c r="I33" s="6"/>
      <c r="J33" s="534">
        <v>187.21899999999999</v>
      </c>
    </row>
    <row r="34" spans="2:10" x14ac:dyDescent="0.2">
      <c r="B34" s="528" t="s">
        <v>1421</v>
      </c>
      <c r="C34" s="531"/>
      <c r="D34" s="531"/>
      <c r="E34" s="531"/>
      <c r="F34" s="531"/>
      <c r="G34" s="530" t="s">
        <v>1426</v>
      </c>
      <c r="H34" s="135" t="s">
        <v>386</v>
      </c>
      <c r="I34" s="533">
        <v>-0.9466388899981466</v>
      </c>
      <c r="J34" s="533">
        <v>114.19500000000018</v>
      </c>
    </row>
    <row r="35" spans="2:10" x14ac:dyDescent="0.2">
      <c r="B35" s="528" t="s">
        <v>1427</v>
      </c>
      <c r="C35" s="530"/>
      <c r="D35" s="530"/>
      <c r="E35" s="530"/>
      <c r="F35" s="530"/>
      <c r="G35" s="530" t="s">
        <v>1424</v>
      </c>
      <c r="H35" s="135" t="s">
        <v>719</v>
      </c>
      <c r="I35" s="533">
        <v>-33.591058569999774</v>
      </c>
      <c r="J35" s="533">
        <v>-28.814000000000306</v>
      </c>
    </row>
    <row r="36" spans="2:10" x14ac:dyDescent="0.2">
      <c r="B36" s="528" t="s">
        <v>1422</v>
      </c>
      <c r="C36" s="529"/>
      <c r="D36" s="529"/>
      <c r="E36" s="529"/>
      <c r="F36" s="529"/>
      <c r="G36" s="530" t="s">
        <v>1425</v>
      </c>
      <c r="H36" s="532" t="s">
        <v>164</v>
      </c>
      <c r="I36" s="535">
        <v>237.63527202999913</v>
      </c>
      <c r="J36" s="535">
        <v>946.00599999999963</v>
      </c>
    </row>
    <row r="37" spans="2:10" x14ac:dyDescent="0.2">
      <c r="B37" s="528" t="s">
        <v>1299</v>
      </c>
      <c r="C37" s="529"/>
      <c r="D37" s="529"/>
      <c r="E37" s="529"/>
      <c r="F37" s="529"/>
      <c r="G37" s="530"/>
      <c r="H37" s="168"/>
    </row>
    <row r="38" spans="2:10" x14ac:dyDescent="0.2">
      <c r="B38" s="528" t="s">
        <v>1423</v>
      </c>
      <c r="C38" s="531"/>
      <c r="D38" s="531"/>
      <c r="E38" s="531"/>
      <c r="F38" s="531"/>
      <c r="G38" s="530"/>
      <c r="H38" s="168"/>
    </row>
    <row r="39" spans="2:10" x14ac:dyDescent="0.2">
      <c r="B39" s="168"/>
      <c r="C39" s="168"/>
      <c r="D39" s="168"/>
      <c r="E39" s="168"/>
      <c r="F39" s="168"/>
      <c r="G39" s="530"/>
      <c r="H39" s="168"/>
    </row>
    <row r="40" spans="2:10" x14ac:dyDescent="0.2">
      <c r="B40" s="168"/>
      <c r="C40" s="168"/>
      <c r="D40" s="168"/>
      <c r="E40" s="168"/>
      <c r="F40" s="168"/>
      <c r="G40" s="530"/>
      <c r="H40" s="168"/>
    </row>
    <row r="41" spans="2:10" x14ac:dyDescent="0.2">
      <c r="B41" s="168"/>
      <c r="C41" s="168"/>
      <c r="D41" s="168"/>
      <c r="E41" s="168"/>
      <c r="F41" s="168"/>
      <c r="G41" s="530"/>
      <c r="H41" s="168"/>
    </row>
    <row r="42" spans="2:10" x14ac:dyDescent="0.2">
      <c r="B42" s="168"/>
      <c r="C42" s="168"/>
      <c r="D42" s="168"/>
      <c r="E42" s="168"/>
      <c r="F42" s="168"/>
      <c r="G42" s="530"/>
      <c r="H42" s="168"/>
    </row>
    <row r="43" spans="2:10" x14ac:dyDescent="0.2">
      <c r="B43" s="168"/>
      <c r="C43" s="168"/>
      <c r="D43" s="168"/>
      <c r="E43" s="168"/>
      <c r="F43" s="168"/>
      <c r="G43" s="530"/>
      <c r="H43" s="168"/>
    </row>
    <row r="44" spans="2:10" x14ac:dyDescent="0.2">
      <c r="B44" s="168"/>
      <c r="C44" s="168"/>
      <c r="D44" s="168"/>
      <c r="E44" s="168"/>
      <c r="F44" s="168"/>
      <c r="G44" s="168"/>
      <c r="H44" s="168"/>
    </row>
    <row r="45" spans="2:10" x14ac:dyDescent="0.2">
      <c r="B45" s="168"/>
      <c r="C45" s="168"/>
      <c r="D45" s="168"/>
      <c r="E45" s="168"/>
      <c r="F45" s="168"/>
      <c r="G45" s="168"/>
      <c r="H45" s="168"/>
    </row>
    <row r="46" spans="2:10" x14ac:dyDescent="0.2">
      <c r="B46" s="168"/>
      <c r="C46" s="168"/>
      <c r="D46" s="168"/>
      <c r="E46" s="168"/>
      <c r="F46" s="168"/>
      <c r="G46" s="168"/>
      <c r="H46" s="168"/>
    </row>
  </sheetData>
  <pageMargins left="0.75" right="0.75" top="1" bottom="1" header="0.5" footer="0.5"/>
  <pageSetup paperSize="9" scale="17" orientation="portrait" r:id="rId1"/>
  <headerFooter alignWithMargins="0"/>
  <colBreaks count="1" manualBreakCount="1">
    <brk id="1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B2:L20"/>
  <sheetViews>
    <sheetView showGridLines="0" zoomScaleNormal="100" workbookViewId="0"/>
  </sheetViews>
  <sheetFormatPr defaultColWidth="9.140625" defaultRowHeight="12.75" x14ac:dyDescent="0.2"/>
  <cols>
    <col min="1" max="1" width="9.140625" style="6"/>
    <col min="2" max="2" width="50.140625" style="6" customWidth="1"/>
    <col min="3" max="3" width="8.28515625" style="6" customWidth="1"/>
    <col min="4" max="4" width="11" style="6" bestFit="1" customWidth="1"/>
    <col min="5" max="5" width="7.85546875" style="6" customWidth="1"/>
    <col min="6" max="6" width="7.7109375" style="6" customWidth="1"/>
    <col min="7" max="7" width="10.7109375" style="6" bestFit="1" customWidth="1"/>
    <col min="8" max="8" width="9.5703125" style="6" customWidth="1"/>
    <col min="9" max="16384" width="9.140625" style="6"/>
  </cols>
  <sheetData>
    <row r="2" spans="2:8" x14ac:dyDescent="0.2">
      <c r="B2" s="160"/>
    </row>
    <row r="3" spans="2:8" x14ac:dyDescent="0.2">
      <c r="B3" s="160"/>
    </row>
    <row r="4" spans="2:8" ht="15.75" customHeight="1" x14ac:dyDescent="0.2">
      <c r="B4" s="823" t="s">
        <v>631</v>
      </c>
      <c r="C4" s="823"/>
      <c r="D4" s="823"/>
      <c r="E4" s="823"/>
      <c r="F4" s="823"/>
      <c r="G4" s="823"/>
      <c r="H4" s="823"/>
    </row>
    <row r="5" spans="2:8" ht="15.75" customHeight="1" x14ac:dyDescent="0.2">
      <c r="B5" s="547"/>
      <c r="C5" s="364" t="s">
        <v>34</v>
      </c>
      <c r="D5" s="364" t="s">
        <v>599</v>
      </c>
      <c r="E5" s="364" t="s">
        <v>632</v>
      </c>
      <c r="F5" s="364" t="s">
        <v>633</v>
      </c>
      <c r="G5" s="364" t="s">
        <v>634</v>
      </c>
      <c r="H5" s="364" t="s">
        <v>635</v>
      </c>
    </row>
    <row r="6" spans="2:8" ht="15.75" customHeight="1" thickBot="1" x14ac:dyDescent="0.25">
      <c r="B6" s="547"/>
      <c r="C6" s="547"/>
      <c r="D6" s="153" t="s">
        <v>0</v>
      </c>
      <c r="E6" s="153" t="s">
        <v>0</v>
      </c>
      <c r="F6" s="153" t="s">
        <v>0</v>
      </c>
      <c r="G6" s="153" t="s">
        <v>0</v>
      </c>
      <c r="H6" s="153" t="s">
        <v>0</v>
      </c>
    </row>
    <row r="7" spans="2:8" ht="15.75" customHeight="1" x14ac:dyDescent="0.2">
      <c r="B7" s="548" t="s">
        <v>77</v>
      </c>
      <c r="C7" s="549" t="s">
        <v>78</v>
      </c>
      <c r="D7" s="548"/>
      <c r="E7" s="548"/>
      <c r="F7" s="548"/>
      <c r="G7" s="548"/>
      <c r="H7" s="548"/>
    </row>
    <row r="8" spans="2:8" ht="15.75" customHeight="1" x14ac:dyDescent="0.2">
      <c r="B8" s="550" t="s">
        <v>79</v>
      </c>
      <c r="C8" s="551"/>
      <c r="D8" s="153">
        <v>-1.04</v>
      </c>
      <c r="E8" s="153">
        <v>-0.8</v>
      </c>
      <c r="F8" s="153">
        <v>-0.32</v>
      </c>
      <c r="G8" s="153">
        <v>0</v>
      </c>
      <c r="H8" s="153">
        <v>0</v>
      </c>
    </row>
    <row r="9" spans="2:8" ht="15.75" customHeight="1" x14ac:dyDescent="0.2">
      <c r="B9" s="550" t="s">
        <v>80</v>
      </c>
      <c r="C9" s="551"/>
      <c r="D9" s="482">
        <f>'Graf 1 + 2'!H11</f>
        <v>-0.7770491556751673</v>
      </c>
      <c r="E9" s="482">
        <f>'Graf 1 + 2'!I11</f>
        <v>-0.6</v>
      </c>
      <c r="F9" s="482">
        <f>'Graf 1 + 2'!J11</f>
        <v>-0.1</v>
      </c>
      <c r="G9" s="482">
        <f>'Graf 1 + 2'!K11</f>
        <v>0</v>
      </c>
      <c r="H9" s="482">
        <f>'Graf 1 + 2'!L11</f>
        <v>0.2</v>
      </c>
    </row>
    <row r="10" spans="2:8" ht="15.75" customHeight="1" thickBot="1" x14ac:dyDescent="0.25">
      <c r="B10" s="552" t="s">
        <v>81</v>
      </c>
      <c r="C10" s="553"/>
      <c r="D10" s="8">
        <f>D9-D8</f>
        <v>0.26295084432483273</v>
      </c>
      <c r="E10" s="8">
        <f t="shared" ref="E10:H10" si="0">E9-E8</f>
        <v>0.20000000000000007</v>
      </c>
      <c r="F10" s="8">
        <f t="shared" si="0"/>
        <v>0.22</v>
      </c>
      <c r="G10" s="8">
        <f t="shared" si="0"/>
        <v>0</v>
      </c>
      <c r="H10" s="8">
        <f t="shared" si="0"/>
        <v>0.2</v>
      </c>
    </row>
    <row r="11" spans="2:8" ht="15.75" customHeight="1" x14ac:dyDescent="0.2">
      <c r="B11" s="554" t="s">
        <v>823</v>
      </c>
    </row>
    <row r="12" spans="2:8" ht="15.75" customHeight="1" x14ac:dyDescent="0.2"/>
    <row r="13" spans="2:8" ht="15.75" customHeight="1" x14ac:dyDescent="0.2">
      <c r="B13" s="823" t="s">
        <v>1366</v>
      </c>
      <c r="C13" s="823"/>
      <c r="D13" s="823"/>
      <c r="E13" s="823"/>
      <c r="F13" s="823"/>
      <c r="G13" s="823"/>
      <c r="H13" s="823"/>
    </row>
    <row r="14" spans="2:8" ht="15.75" customHeight="1" x14ac:dyDescent="0.2">
      <c r="B14" s="547"/>
      <c r="C14" s="364" t="s">
        <v>953</v>
      </c>
      <c r="D14" s="364" t="s">
        <v>1170</v>
      </c>
      <c r="E14" s="364" t="s">
        <v>632</v>
      </c>
      <c r="F14" s="364" t="s">
        <v>1171</v>
      </c>
      <c r="G14" s="364" t="s">
        <v>1172</v>
      </c>
      <c r="H14" s="364" t="s">
        <v>1173</v>
      </c>
    </row>
    <row r="15" spans="2:8" ht="13.5" thickBot="1" x14ac:dyDescent="0.25">
      <c r="B15" s="547"/>
      <c r="C15" s="547"/>
      <c r="D15" s="732" t="s">
        <v>1110</v>
      </c>
      <c r="E15" s="732" t="s">
        <v>1110</v>
      </c>
      <c r="F15" s="732" t="s">
        <v>1110</v>
      </c>
      <c r="G15" s="732" t="s">
        <v>1110</v>
      </c>
      <c r="H15" s="732" t="s">
        <v>1110</v>
      </c>
    </row>
    <row r="16" spans="2:8" x14ac:dyDescent="0.2">
      <c r="B16" s="548" t="s">
        <v>1167</v>
      </c>
      <c r="C16" s="549" t="s">
        <v>78</v>
      </c>
      <c r="D16" s="548"/>
      <c r="E16" s="548"/>
      <c r="F16" s="548"/>
      <c r="G16" s="548"/>
      <c r="H16" s="548"/>
    </row>
    <row r="17" spans="2:12" x14ac:dyDescent="0.2">
      <c r="B17" s="550" t="s">
        <v>1168</v>
      </c>
      <c r="C17" s="551"/>
      <c r="D17" s="732">
        <f>D8</f>
        <v>-1.04</v>
      </c>
      <c r="E17" s="732">
        <f t="shared" ref="E17:H17" si="1">E8</f>
        <v>-0.8</v>
      </c>
      <c r="F17" s="732">
        <f t="shared" si="1"/>
        <v>-0.32</v>
      </c>
      <c r="G17" s="732">
        <f t="shared" si="1"/>
        <v>0</v>
      </c>
      <c r="H17" s="732">
        <f t="shared" si="1"/>
        <v>0</v>
      </c>
    </row>
    <row r="18" spans="2:12" x14ac:dyDescent="0.2">
      <c r="B18" s="550" t="s">
        <v>1169</v>
      </c>
      <c r="C18" s="551"/>
      <c r="D18" s="482">
        <f t="shared" ref="D18:H18" si="2">D9</f>
        <v>-0.7770491556751673</v>
      </c>
      <c r="E18" s="482">
        <f t="shared" si="2"/>
        <v>-0.6</v>
      </c>
      <c r="F18" s="482">
        <f t="shared" si="2"/>
        <v>-0.1</v>
      </c>
      <c r="G18" s="482">
        <f t="shared" si="2"/>
        <v>0</v>
      </c>
      <c r="H18" s="482">
        <f t="shared" si="2"/>
        <v>0.2</v>
      </c>
    </row>
    <row r="19" spans="2:12" ht="13.5" thickBot="1" x14ac:dyDescent="0.25">
      <c r="B19" s="552" t="s">
        <v>1059</v>
      </c>
      <c r="C19" s="553"/>
      <c r="D19" s="8">
        <f t="shared" ref="D19:H19" si="3">D10</f>
        <v>0.26295084432483273</v>
      </c>
      <c r="E19" s="8">
        <f t="shared" si="3"/>
        <v>0.20000000000000007</v>
      </c>
      <c r="F19" s="8">
        <f t="shared" si="3"/>
        <v>0.22</v>
      </c>
      <c r="G19" s="8">
        <f t="shared" si="3"/>
        <v>0</v>
      </c>
      <c r="H19" s="8">
        <f t="shared" si="3"/>
        <v>0.2</v>
      </c>
      <c r="I19" s="169"/>
      <c r="J19" s="169"/>
      <c r="K19" s="169"/>
      <c r="L19" s="169"/>
    </row>
    <row r="20" spans="2:12" ht="13.5" x14ac:dyDescent="0.25">
      <c r="B20" s="785" t="s">
        <v>1365</v>
      </c>
      <c r="H20" s="784" t="s">
        <v>1038</v>
      </c>
    </row>
  </sheetData>
  <mergeCells count="2">
    <mergeCell ref="B4:H4"/>
    <mergeCell ref="B13:H1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K33"/>
  <sheetViews>
    <sheetView showGridLines="0" workbookViewId="0"/>
  </sheetViews>
  <sheetFormatPr defaultColWidth="9.140625" defaultRowHeight="12.75" x14ac:dyDescent="0.2"/>
  <cols>
    <col min="1" max="1" width="9.140625" style="693"/>
    <col min="2" max="2" width="50.28515625" style="693" customWidth="1"/>
    <col min="3" max="3" width="0" style="693" hidden="1" customWidth="1"/>
    <col min="4" max="16384" width="9.140625" style="693"/>
  </cols>
  <sheetData>
    <row r="2" spans="2:11" x14ac:dyDescent="0.2">
      <c r="B2" s="744"/>
    </row>
    <row r="3" spans="2:11" x14ac:dyDescent="0.2">
      <c r="B3" s="744"/>
    </row>
    <row r="4" spans="2:11" x14ac:dyDescent="0.2">
      <c r="B4" s="825" t="s">
        <v>806</v>
      </c>
      <c r="C4" s="825"/>
      <c r="D4" s="825"/>
      <c r="E4" s="825"/>
      <c r="F4" s="825"/>
      <c r="G4" s="825"/>
      <c r="H4" s="825"/>
    </row>
    <row r="5" spans="2:11" x14ac:dyDescent="0.2">
      <c r="B5" s="9"/>
      <c r="C5" s="10">
        <v>2013</v>
      </c>
      <c r="D5" s="10" t="s">
        <v>792</v>
      </c>
      <c r="E5" s="10" t="s">
        <v>161</v>
      </c>
      <c r="F5" s="10" t="s">
        <v>289</v>
      </c>
      <c r="G5" s="10" t="s">
        <v>599</v>
      </c>
      <c r="H5" s="10" t="s">
        <v>637</v>
      </c>
      <c r="I5" s="10" t="s">
        <v>633</v>
      </c>
      <c r="J5" s="10" t="s">
        <v>634</v>
      </c>
      <c r="K5" s="10" t="s">
        <v>635</v>
      </c>
    </row>
    <row r="6" spans="2:11" ht="16.5" customHeight="1" x14ac:dyDescent="0.2">
      <c r="B6" s="11" t="s">
        <v>158</v>
      </c>
      <c r="C6" s="12">
        <f>IMF_TABULKA!K89*100</f>
        <v>-2.7199884783407948</v>
      </c>
      <c r="D6" s="12">
        <v>-2.7022943195260938</v>
      </c>
      <c r="E6" s="12">
        <v>-2.5612636176578194</v>
      </c>
      <c r="F6" s="12">
        <v>-2.2218395317473987</v>
      </c>
      <c r="G6" s="12">
        <v>-0.7770491556751673</v>
      </c>
      <c r="H6" s="12">
        <v>-0.6</v>
      </c>
      <c r="I6" s="12">
        <v>-0.1</v>
      </c>
      <c r="J6" s="12">
        <v>0</v>
      </c>
      <c r="K6" s="12">
        <v>0.2</v>
      </c>
    </row>
    <row r="7" spans="2:11" ht="16.5" customHeight="1" x14ac:dyDescent="0.2">
      <c r="B7" s="693" t="s">
        <v>322</v>
      </c>
      <c r="C7" s="740">
        <v>-0.70960912340129623</v>
      </c>
      <c r="D7" s="740">
        <v>-0.56403700305866211</v>
      </c>
      <c r="E7" s="740">
        <v>-0.22399494500883299</v>
      </c>
      <c r="F7" s="740">
        <v>-7.9481210892624221E-2</v>
      </c>
      <c r="G7" s="740">
        <v>5.4489314304852814E-2</v>
      </c>
      <c r="H7" s="740">
        <v>0.21748292666450078</v>
      </c>
      <c r="I7" s="740">
        <v>0.47470191992028921</v>
      </c>
      <c r="J7" s="740">
        <v>0.50392028055833749</v>
      </c>
      <c r="K7" s="740">
        <v>0.48566374011140101</v>
      </c>
    </row>
    <row r="8" spans="2:11" ht="16.5" customHeight="1" x14ac:dyDescent="0.2">
      <c r="B8" s="693" t="s">
        <v>323</v>
      </c>
      <c r="C8" s="740">
        <v>-1.0893911062784209E-2</v>
      </c>
      <c r="D8" s="740">
        <v>0.27337501251765539</v>
      </c>
      <c r="E8" s="740">
        <v>0</v>
      </c>
      <c r="F8" s="740">
        <v>-4.137191335638802E-2</v>
      </c>
      <c r="G8" s="740">
        <v>0</v>
      </c>
      <c r="H8" s="740">
        <v>0</v>
      </c>
      <c r="I8" s="740">
        <v>0</v>
      </c>
      <c r="J8" s="740">
        <v>0</v>
      </c>
      <c r="K8" s="740">
        <v>0</v>
      </c>
    </row>
    <row r="9" spans="2:11" ht="16.5" customHeight="1" x14ac:dyDescent="0.2">
      <c r="B9" s="11" t="s">
        <v>5</v>
      </c>
      <c r="C9" s="13">
        <f t="shared" ref="C9" si="0">C6-C7-C8</f>
        <v>-1.9994854438767145</v>
      </c>
      <c r="D9" s="13">
        <f>D6-D7-D8</f>
        <v>-2.4116323289850872</v>
      </c>
      <c r="E9" s="13">
        <f t="shared" ref="E9:K9" si="1">E6-E7-E8</f>
        <v>-2.3372686726489862</v>
      </c>
      <c r="F9" s="13">
        <f t="shared" si="1"/>
        <v>-2.1009864074983864</v>
      </c>
      <c r="G9" s="13">
        <f t="shared" si="1"/>
        <v>-0.83153846998002012</v>
      </c>
      <c r="H9" s="13">
        <f t="shared" si="1"/>
        <v>-0.81748292666450073</v>
      </c>
      <c r="I9" s="13">
        <f t="shared" si="1"/>
        <v>-0.57470191992028918</v>
      </c>
      <c r="J9" s="13">
        <f t="shared" si="1"/>
        <v>-0.50392028055833749</v>
      </c>
      <c r="K9" s="13">
        <f t="shared" si="1"/>
        <v>-0.285663740111401</v>
      </c>
    </row>
    <row r="10" spans="2:11" ht="16.5" customHeight="1" x14ac:dyDescent="0.2">
      <c r="B10" s="14" t="s">
        <v>8</v>
      </c>
      <c r="C10" s="15">
        <v>1.8420053129096816</v>
      </c>
      <c r="D10" s="15">
        <v>-0.41214688510837272</v>
      </c>
      <c r="E10" s="15">
        <f>E9-D9</f>
        <v>7.4363656336100981E-2</v>
      </c>
      <c r="F10" s="15">
        <f t="shared" ref="F10:K10" si="2">F9-E9</f>
        <v>0.2362822651505998</v>
      </c>
      <c r="G10" s="15">
        <f t="shared" si="2"/>
        <v>1.2694479375183663</v>
      </c>
      <c r="H10" s="15">
        <f t="shared" si="2"/>
        <v>1.4055543315519392E-2</v>
      </c>
      <c r="I10" s="15">
        <f t="shared" si="2"/>
        <v>0.24278100674421155</v>
      </c>
      <c r="J10" s="15">
        <f t="shared" si="2"/>
        <v>7.0781639361951698E-2</v>
      </c>
      <c r="K10" s="15">
        <f t="shared" si="2"/>
        <v>0.21825654044693649</v>
      </c>
    </row>
    <row r="11" spans="2:11" ht="16.5" customHeight="1" x14ac:dyDescent="0.2">
      <c r="B11" s="745" t="s">
        <v>201</v>
      </c>
      <c r="C11" s="741" t="s">
        <v>324</v>
      </c>
      <c r="D11" s="742">
        <v>-0.4</v>
      </c>
      <c r="E11" s="741">
        <v>0</v>
      </c>
      <c r="F11" s="742">
        <v>0.25</v>
      </c>
      <c r="G11" s="741">
        <v>0.5</v>
      </c>
      <c r="H11" s="741">
        <v>0.5</v>
      </c>
      <c r="I11" s="741">
        <v>0.33</v>
      </c>
      <c r="J11" s="742" t="s">
        <v>202</v>
      </c>
      <c r="K11" s="742" t="s">
        <v>202</v>
      </c>
    </row>
    <row r="12" spans="2:11" ht="16.5" customHeight="1" x14ac:dyDescent="0.2">
      <c r="B12" s="11" t="s">
        <v>325</v>
      </c>
      <c r="C12" s="743" t="s">
        <v>324</v>
      </c>
      <c r="D12" s="19">
        <v>-0.23264998692444816</v>
      </c>
      <c r="E12" s="19">
        <v>-0.31961065752479012</v>
      </c>
      <c r="F12" s="19">
        <v>0.50179018100000006</v>
      </c>
      <c r="G12" s="19">
        <v>0.41780430099999988</v>
      </c>
      <c r="H12" s="19">
        <v>-0.48594445668448061</v>
      </c>
      <c r="I12" s="19" t="s">
        <v>636</v>
      </c>
      <c r="J12" s="19" t="s">
        <v>202</v>
      </c>
      <c r="K12" s="19" t="s">
        <v>202</v>
      </c>
    </row>
    <row r="13" spans="2:11" ht="16.5" customHeight="1" x14ac:dyDescent="0.2">
      <c r="B13" s="20" t="s">
        <v>326</v>
      </c>
      <c r="C13" s="741" t="s">
        <v>324</v>
      </c>
      <c r="D13" s="413"/>
      <c r="E13" s="21">
        <v>-0.27613032222461914</v>
      </c>
      <c r="F13" s="414">
        <v>9.1089761737604968E-2</v>
      </c>
      <c r="G13" s="21">
        <v>0.45979724099999997</v>
      </c>
      <c r="H13" s="21">
        <v>-3.4070077842240365E-2</v>
      </c>
      <c r="I13" s="21" t="s">
        <v>636</v>
      </c>
      <c r="J13" s="21" t="s">
        <v>202</v>
      </c>
      <c r="K13" s="21" t="s">
        <v>202</v>
      </c>
    </row>
    <row r="14" spans="2:11" ht="12" customHeight="1" x14ac:dyDescent="0.2">
      <c r="B14" s="555" t="s">
        <v>638</v>
      </c>
    </row>
    <row r="15" spans="2:11" ht="12" customHeight="1" x14ac:dyDescent="0.2">
      <c r="B15" s="555" t="s">
        <v>639</v>
      </c>
    </row>
    <row r="16" spans="2:11" ht="12" customHeight="1" x14ac:dyDescent="0.2">
      <c r="B16" s="556" t="s">
        <v>824</v>
      </c>
    </row>
    <row r="17" spans="2:11" ht="16.5" customHeight="1" x14ac:dyDescent="0.2">
      <c r="B17" s="824" t="s">
        <v>907</v>
      </c>
      <c r="C17" s="824"/>
      <c r="D17" s="824"/>
      <c r="E17" s="824"/>
      <c r="F17" s="826"/>
      <c r="G17" s="826"/>
      <c r="H17" s="826"/>
    </row>
    <row r="18" spans="2:11" ht="25.5" customHeight="1" x14ac:dyDescent="0.2">
      <c r="B18" s="827"/>
      <c r="C18" s="827"/>
      <c r="D18" s="827"/>
      <c r="E18" s="827"/>
      <c r="F18" s="826"/>
      <c r="G18" s="826"/>
      <c r="H18" s="826"/>
    </row>
    <row r="20" spans="2:11" x14ac:dyDescent="0.2">
      <c r="B20" s="825" t="s">
        <v>1174</v>
      </c>
      <c r="C20" s="825"/>
      <c r="D20" s="825"/>
      <c r="E20" s="825"/>
      <c r="F20" s="825"/>
      <c r="G20" s="825"/>
      <c r="H20" s="825"/>
    </row>
    <row r="21" spans="2:11" x14ac:dyDescent="0.2">
      <c r="B21" s="9"/>
      <c r="C21" s="10">
        <v>2013</v>
      </c>
      <c r="D21" s="10" t="s">
        <v>1178</v>
      </c>
      <c r="E21" s="10" t="s">
        <v>1179</v>
      </c>
      <c r="F21" s="10" t="s">
        <v>1180</v>
      </c>
      <c r="G21" s="10" t="s">
        <v>1170</v>
      </c>
      <c r="H21" s="10" t="s">
        <v>637</v>
      </c>
      <c r="I21" s="10" t="s">
        <v>1171</v>
      </c>
      <c r="J21" s="10" t="s">
        <v>1172</v>
      </c>
      <c r="K21" s="10" t="s">
        <v>1173</v>
      </c>
    </row>
    <row r="22" spans="2:11" x14ac:dyDescent="0.2">
      <c r="B22" s="11" t="s">
        <v>1367</v>
      </c>
      <c r="C22" s="12">
        <f>[71]MMF_TABULKA!J106*100</f>
        <v>0</v>
      </c>
      <c r="D22" s="12">
        <f>D6</f>
        <v>-2.7022943195260938</v>
      </c>
      <c r="E22" s="12">
        <f t="shared" ref="E22:K22" si="3">E6</f>
        <v>-2.5612636176578194</v>
      </c>
      <c r="F22" s="12">
        <f t="shared" si="3"/>
        <v>-2.2218395317473987</v>
      </c>
      <c r="G22" s="12">
        <f t="shared" si="3"/>
        <v>-0.7770491556751673</v>
      </c>
      <c r="H22" s="12">
        <f t="shared" si="3"/>
        <v>-0.6</v>
      </c>
      <c r="I22" s="12">
        <f t="shared" si="3"/>
        <v>-0.1</v>
      </c>
      <c r="J22" s="12">
        <f t="shared" si="3"/>
        <v>0</v>
      </c>
      <c r="K22" s="12">
        <f t="shared" si="3"/>
        <v>0.2</v>
      </c>
    </row>
    <row r="23" spans="2:11" x14ac:dyDescent="0.2">
      <c r="B23" s="693" t="s">
        <v>1368</v>
      </c>
      <c r="C23" s="740">
        <v>-0.70960912340129623</v>
      </c>
      <c r="D23" s="740">
        <f t="shared" ref="D23:K23" si="4">D7</f>
        <v>-0.56403700305866211</v>
      </c>
      <c r="E23" s="740">
        <f t="shared" si="4"/>
        <v>-0.22399494500883299</v>
      </c>
      <c r="F23" s="740">
        <f t="shared" si="4"/>
        <v>-7.9481210892624221E-2</v>
      </c>
      <c r="G23" s="740">
        <f t="shared" si="4"/>
        <v>5.4489314304852814E-2</v>
      </c>
      <c r="H23" s="740">
        <f t="shared" si="4"/>
        <v>0.21748292666450078</v>
      </c>
      <c r="I23" s="740">
        <f t="shared" si="4"/>
        <v>0.47470191992028921</v>
      </c>
      <c r="J23" s="740">
        <f t="shared" si="4"/>
        <v>0.50392028055833749</v>
      </c>
      <c r="K23" s="740">
        <f t="shared" si="4"/>
        <v>0.48566374011140101</v>
      </c>
    </row>
    <row r="24" spans="2:11" x14ac:dyDescent="0.2">
      <c r="B24" s="693" t="s">
        <v>1369</v>
      </c>
      <c r="C24" s="740">
        <v>-1.0893911062784209E-2</v>
      </c>
      <c r="D24" s="740">
        <f t="shared" ref="D24:K24" si="5">D8</f>
        <v>0.27337501251765539</v>
      </c>
      <c r="E24" s="740">
        <f t="shared" si="5"/>
        <v>0</v>
      </c>
      <c r="F24" s="740">
        <f t="shared" si="5"/>
        <v>-4.137191335638802E-2</v>
      </c>
      <c r="G24" s="740">
        <f t="shared" si="5"/>
        <v>0</v>
      </c>
      <c r="H24" s="740">
        <f t="shared" si="5"/>
        <v>0</v>
      </c>
      <c r="I24" s="740">
        <f t="shared" si="5"/>
        <v>0</v>
      </c>
      <c r="J24" s="740">
        <f t="shared" si="5"/>
        <v>0</v>
      </c>
      <c r="K24" s="740">
        <f t="shared" si="5"/>
        <v>0</v>
      </c>
    </row>
    <row r="25" spans="2:11" x14ac:dyDescent="0.2">
      <c r="B25" s="11" t="s">
        <v>1370</v>
      </c>
      <c r="C25" s="13">
        <f t="shared" ref="C25" si="6">C22-C23-C24</f>
        <v>0.72050303446408048</v>
      </c>
      <c r="D25" s="13">
        <f t="shared" ref="D25:K25" si="7">D9</f>
        <v>-2.4116323289850872</v>
      </c>
      <c r="E25" s="13">
        <f t="shared" si="7"/>
        <v>-2.3372686726489862</v>
      </c>
      <c r="F25" s="13">
        <f t="shared" si="7"/>
        <v>-2.1009864074983864</v>
      </c>
      <c r="G25" s="13">
        <f t="shared" si="7"/>
        <v>-0.83153846998002012</v>
      </c>
      <c r="H25" s="13">
        <f t="shared" si="7"/>
        <v>-0.81748292666450073</v>
      </c>
      <c r="I25" s="13">
        <f t="shared" si="7"/>
        <v>-0.57470191992028918</v>
      </c>
      <c r="J25" s="13">
        <f t="shared" si="7"/>
        <v>-0.50392028055833749</v>
      </c>
      <c r="K25" s="13">
        <f t="shared" si="7"/>
        <v>-0.285663740111401</v>
      </c>
    </row>
    <row r="26" spans="2:11" x14ac:dyDescent="0.2">
      <c r="B26" s="14" t="s">
        <v>1371</v>
      </c>
      <c r="C26" s="15">
        <v>1.8420053129096816</v>
      </c>
      <c r="D26" s="15">
        <f t="shared" ref="D26:K26" si="8">D10</f>
        <v>-0.41214688510837272</v>
      </c>
      <c r="E26" s="15">
        <f t="shared" si="8"/>
        <v>7.4363656336100981E-2</v>
      </c>
      <c r="F26" s="15">
        <f t="shared" si="8"/>
        <v>0.2362822651505998</v>
      </c>
      <c r="G26" s="15">
        <f t="shared" si="8"/>
        <v>1.2694479375183663</v>
      </c>
      <c r="H26" s="15">
        <f t="shared" si="8"/>
        <v>1.4055543315519392E-2</v>
      </c>
      <c r="I26" s="15">
        <f t="shared" si="8"/>
        <v>0.24278100674421155</v>
      </c>
      <c r="J26" s="15">
        <f t="shared" si="8"/>
        <v>7.0781639361951698E-2</v>
      </c>
      <c r="K26" s="15">
        <f t="shared" si="8"/>
        <v>0.21825654044693649</v>
      </c>
    </row>
    <row r="27" spans="2:11" x14ac:dyDescent="0.2">
      <c r="B27" s="745" t="s">
        <v>1175</v>
      </c>
      <c r="C27" s="741" t="s">
        <v>324</v>
      </c>
      <c r="D27" s="742">
        <f t="shared" ref="D27:K27" si="9">D11</f>
        <v>-0.4</v>
      </c>
      <c r="E27" s="741">
        <f t="shared" si="9"/>
        <v>0</v>
      </c>
      <c r="F27" s="742">
        <f t="shared" si="9"/>
        <v>0.25</v>
      </c>
      <c r="G27" s="741">
        <f t="shared" si="9"/>
        <v>0.5</v>
      </c>
      <c r="H27" s="741">
        <f t="shared" si="9"/>
        <v>0.5</v>
      </c>
      <c r="I27" s="741">
        <f t="shared" si="9"/>
        <v>0.33</v>
      </c>
      <c r="J27" s="742" t="str">
        <f t="shared" si="9"/>
        <v>MTO</v>
      </c>
      <c r="K27" s="742" t="str">
        <f t="shared" si="9"/>
        <v>MTO</v>
      </c>
    </row>
    <row r="28" spans="2:11" x14ac:dyDescent="0.2">
      <c r="B28" s="11" t="s">
        <v>1176</v>
      </c>
      <c r="C28" s="743" t="s">
        <v>324</v>
      </c>
      <c r="D28" s="19">
        <f t="shared" ref="D28:K28" si="10">D12</f>
        <v>-0.23264998692444816</v>
      </c>
      <c r="E28" s="19">
        <f t="shared" si="10"/>
        <v>-0.31961065752479012</v>
      </c>
      <c r="F28" s="19">
        <f t="shared" si="10"/>
        <v>0.50179018100000006</v>
      </c>
      <c r="G28" s="19">
        <f t="shared" si="10"/>
        <v>0.41780430099999988</v>
      </c>
      <c r="H28" s="19">
        <f t="shared" si="10"/>
        <v>-0.48594445668448061</v>
      </c>
      <c r="I28" s="19" t="str">
        <f t="shared" si="10"/>
        <v>MTO*</v>
      </c>
      <c r="J28" s="19" t="str">
        <f t="shared" si="10"/>
        <v>MTO</v>
      </c>
      <c r="K28" s="19" t="str">
        <f t="shared" si="10"/>
        <v>MTO</v>
      </c>
    </row>
    <row r="29" spans="2:11" x14ac:dyDescent="0.2">
      <c r="B29" s="20" t="s">
        <v>1177</v>
      </c>
      <c r="C29" s="741" t="s">
        <v>324</v>
      </c>
      <c r="D29" s="413"/>
      <c r="E29" s="21">
        <f t="shared" ref="E29:K29" si="11">E13</f>
        <v>-0.27613032222461914</v>
      </c>
      <c r="F29" s="414">
        <f t="shared" si="11"/>
        <v>9.1089761737604968E-2</v>
      </c>
      <c r="G29" s="21">
        <f t="shared" si="11"/>
        <v>0.45979724099999997</v>
      </c>
      <c r="H29" s="21">
        <f t="shared" si="11"/>
        <v>-3.4070077842240365E-2</v>
      </c>
      <c r="I29" s="21" t="str">
        <f t="shared" si="11"/>
        <v>MTO*</v>
      </c>
      <c r="J29" s="21" t="str">
        <f t="shared" si="11"/>
        <v>MTO</v>
      </c>
      <c r="K29" s="21" t="str">
        <f t="shared" si="11"/>
        <v>MTO</v>
      </c>
    </row>
    <row r="30" spans="2:11" x14ac:dyDescent="0.2">
      <c r="B30" s="555" t="s">
        <v>1181</v>
      </c>
    </row>
    <row r="31" spans="2:11" x14ac:dyDescent="0.2">
      <c r="B31" s="555" t="s">
        <v>1182</v>
      </c>
    </row>
    <row r="32" spans="2:11" x14ac:dyDescent="0.2">
      <c r="B32" s="556" t="s">
        <v>1183</v>
      </c>
    </row>
    <row r="33" spans="2:5" x14ac:dyDescent="0.2">
      <c r="B33" s="824" t="s">
        <v>1184</v>
      </c>
      <c r="C33" s="824"/>
      <c r="D33" s="824"/>
      <c r="E33" s="824"/>
    </row>
  </sheetData>
  <mergeCells count="6">
    <mergeCell ref="B33:E33"/>
    <mergeCell ref="B4:H4"/>
    <mergeCell ref="B17:E17"/>
    <mergeCell ref="F17:H18"/>
    <mergeCell ref="B18:E18"/>
    <mergeCell ref="B20:H20"/>
  </mergeCells>
  <conditionalFormatting sqref="J12:K12">
    <cfRule type="cellIs" dxfId="65" priority="58" operator="lessThan">
      <formula>-0.501111</formula>
    </cfRule>
    <cfRule type="cellIs" dxfId="64" priority="59" operator="between">
      <formula>-0.0001</formula>
      <formula>-0.5</formula>
    </cfRule>
    <cfRule type="cellIs" dxfId="63" priority="60" operator="greaterThan">
      <formula>0</formula>
    </cfRule>
  </conditionalFormatting>
  <conditionalFormatting sqref="D12:H12 J12:K12">
    <cfRule type="cellIs" dxfId="62" priority="52" operator="lessThan">
      <formula>-0.501111</formula>
    </cfRule>
    <cfRule type="cellIs" dxfId="61" priority="53" operator="between">
      <formula>-0.04</formula>
      <formula>-0.5</formula>
    </cfRule>
    <cfRule type="cellIs" dxfId="60" priority="54" operator="greaterThan">
      <formula>-0.04</formula>
    </cfRule>
  </conditionalFormatting>
  <conditionalFormatting sqref="F13">
    <cfRule type="cellIs" dxfId="59" priority="49" operator="lessThan">
      <formula>-0.501111</formula>
    </cfRule>
    <cfRule type="cellIs" dxfId="58" priority="50" operator="between">
      <formula>-0.0001</formula>
      <formula>-0.5</formula>
    </cfRule>
    <cfRule type="cellIs" dxfId="57" priority="51" operator="greaterThanOrEqual">
      <formula>-0.000001</formula>
    </cfRule>
  </conditionalFormatting>
  <conditionalFormatting sqref="D13:E13 G13 J13:K13">
    <cfRule type="cellIs" dxfId="56" priority="46" operator="lessThan">
      <formula>-0.250001</formula>
    </cfRule>
    <cfRule type="cellIs" dxfId="55" priority="47" operator="between">
      <formula>-0.001</formula>
      <formula>-0.25</formula>
    </cfRule>
    <cfRule type="cellIs" dxfId="54" priority="48" operator="greaterThanOrEqual">
      <formula>-0.000001</formula>
    </cfRule>
  </conditionalFormatting>
  <conditionalFormatting sqref="I12">
    <cfRule type="cellIs" dxfId="53" priority="43" operator="lessThan">
      <formula>-0.501111</formula>
    </cfRule>
    <cfRule type="cellIs" dxfId="52" priority="44" operator="between">
      <formula>-0.0001</formula>
      <formula>-0.5</formula>
    </cfRule>
    <cfRule type="cellIs" dxfId="51" priority="45" operator="greaterThan">
      <formula>0</formula>
    </cfRule>
  </conditionalFormatting>
  <conditionalFormatting sqref="I12">
    <cfRule type="cellIs" dxfId="50" priority="40" operator="lessThan">
      <formula>-0.501111</formula>
    </cfRule>
    <cfRule type="cellIs" dxfId="49" priority="41" operator="between">
      <formula>-0.04</formula>
      <formula>-0.5</formula>
    </cfRule>
    <cfRule type="cellIs" dxfId="48" priority="42" operator="greaterThan">
      <formula>-0.04</formula>
    </cfRule>
  </conditionalFormatting>
  <conditionalFormatting sqref="I13">
    <cfRule type="cellIs" dxfId="47" priority="37" operator="lessThan">
      <formula>-0.250001</formula>
    </cfRule>
    <cfRule type="cellIs" dxfId="46" priority="38" operator="between">
      <formula>-0.001</formula>
      <formula>-0.25</formula>
    </cfRule>
    <cfRule type="cellIs" dxfId="45" priority="39" operator="greaterThanOrEqual">
      <formula>-0.000001</formula>
    </cfRule>
  </conditionalFormatting>
  <conditionalFormatting sqref="H13">
    <cfRule type="cellIs" dxfId="44" priority="34" operator="lessThan">
      <formula>-0.250001</formula>
    </cfRule>
    <cfRule type="cellIs" dxfId="43" priority="35" operator="between">
      <formula>-0.001</formula>
      <formula>-0.25</formula>
    </cfRule>
    <cfRule type="cellIs" dxfId="42" priority="36" operator="greaterThanOrEqual">
      <formula>-0.000001</formula>
    </cfRule>
  </conditionalFormatting>
  <conditionalFormatting sqref="J28:K28">
    <cfRule type="cellIs" dxfId="41" priority="22" operator="lessThan">
      <formula>-0.501111</formula>
    </cfRule>
    <cfRule type="cellIs" dxfId="40" priority="23" operator="between">
      <formula>-0.0001</formula>
      <formula>-0.5</formula>
    </cfRule>
    <cfRule type="cellIs" dxfId="39" priority="24" operator="greaterThan">
      <formula>0</formula>
    </cfRule>
  </conditionalFormatting>
  <conditionalFormatting sqref="D28:H28 J28:K28">
    <cfRule type="cellIs" dxfId="38" priority="19" operator="lessThan">
      <formula>-0.501111</formula>
    </cfRule>
    <cfRule type="cellIs" dxfId="37" priority="20" operator="between">
      <formula>-0.04</formula>
      <formula>-0.5</formula>
    </cfRule>
    <cfRule type="cellIs" dxfId="36" priority="21" operator="greaterThan">
      <formula>-0.04</formula>
    </cfRule>
  </conditionalFormatting>
  <conditionalFormatting sqref="F29">
    <cfRule type="cellIs" dxfId="35" priority="16" operator="lessThan">
      <formula>-0.501111</formula>
    </cfRule>
    <cfRule type="cellIs" dxfId="34" priority="17" operator="between">
      <formula>-0.0001</formula>
      <formula>-0.5</formula>
    </cfRule>
    <cfRule type="cellIs" dxfId="33" priority="18" operator="greaterThanOrEqual">
      <formula>-0.000001</formula>
    </cfRule>
  </conditionalFormatting>
  <conditionalFormatting sqref="D29:E29 G29 J29:K29">
    <cfRule type="cellIs" dxfId="32" priority="13" operator="lessThan">
      <formula>-0.250001</formula>
    </cfRule>
    <cfRule type="cellIs" dxfId="31" priority="14" operator="between">
      <formula>-0.001</formula>
      <formula>-0.25</formula>
    </cfRule>
    <cfRule type="cellIs" dxfId="30" priority="15" operator="greaterThanOrEqual">
      <formula>-0.000001</formula>
    </cfRule>
  </conditionalFormatting>
  <conditionalFormatting sqref="I28">
    <cfRule type="cellIs" dxfId="29" priority="10" operator="lessThan">
      <formula>-0.501111</formula>
    </cfRule>
    <cfRule type="cellIs" dxfId="28" priority="11" operator="between">
      <formula>-0.0001</formula>
      <formula>-0.5</formula>
    </cfRule>
    <cfRule type="cellIs" dxfId="27" priority="12" operator="greaterThan">
      <formula>0</formula>
    </cfRule>
  </conditionalFormatting>
  <conditionalFormatting sqref="I28">
    <cfRule type="cellIs" dxfId="26" priority="7" operator="lessThan">
      <formula>-0.501111</formula>
    </cfRule>
    <cfRule type="cellIs" dxfId="25" priority="8" operator="between">
      <formula>-0.04</formula>
      <formula>-0.5</formula>
    </cfRule>
    <cfRule type="cellIs" dxfId="24" priority="9" operator="greaterThan">
      <formula>-0.04</formula>
    </cfRule>
  </conditionalFormatting>
  <conditionalFormatting sqref="I29">
    <cfRule type="cellIs" dxfId="23" priority="4" operator="lessThan">
      <formula>-0.250001</formula>
    </cfRule>
    <cfRule type="cellIs" dxfId="22" priority="5" operator="between">
      <formula>-0.001</formula>
      <formula>-0.25</formula>
    </cfRule>
    <cfRule type="cellIs" dxfId="21" priority="6" operator="greaterThanOrEqual">
      <formula>-0.000001</formula>
    </cfRule>
  </conditionalFormatting>
  <conditionalFormatting sqref="H29">
    <cfRule type="cellIs" dxfId="20" priority="1" operator="lessThan">
      <formula>-0.250001</formula>
    </cfRule>
    <cfRule type="cellIs" dxfId="19" priority="2" operator="between">
      <formula>-0.001</formula>
      <formula>-0.25</formula>
    </cfRule>
    <cfRule type="cellIs" dxfId="18" priority="3" operator="greaterThanOrEqual">
      <formula>-0.000001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B2:AD72"/>
  <sheetViews>
    <sheetView showGridLines="0" topLeftCell="A4" workbookViewId="0">
      <selection activeCell="K22" sqref="K21:K22"/>
    </sheetView>
  </sheetViews>
  <sheetFormatPr defaultColWidth="9.140625" defaultRowHeight="12.75" x14ac:dyDescent="0.2"/>
  <cols>
    <col min="1" max="1" width="8.28515625" style="170" customWidth="1"/>
    <col min="2" max="2" width="18.5703125" style="170" customWidth="1"/>
    <col min="3" max="9" width="8.28515625" style="170" customWidth="1"/>
    <col min="10" max="10" width="20.5703125" style="170" customWidth="1"/>
    <col min="11" max="11" width="30.42578125" style="170" customWidth="1"/>
    <col min="12" max="12" width="27.85546875" style="170" customWidth="1"/>
    <col min="13" max="16" width="6.7109375" style="170" hidden="1" customWidth="1"/>
    <col min="17" max="17" width="9" style="170" hidden="1" customWidth="1"/>
    <col min="18" max="18" width="6.7109375" style="170" hidden="1" customWidth="1"/>
    <col min="19" max="20" width="6.7109375" style="170" customWidth="1"/>
    <col min="21" max="21" width="7" style="170" customWidth="1"/>
    <col min="22" max="22" width="5.7109375" style="170" bestFit="1" customWidth="1"/>
    <col min="23" max="23" width="6.7109375" style="170" customWidth="1"/>
    <col min="24" max="24" width="7.7109375" style="170" customWidth="1"/>
    <col min="25" max="25" width="7.42578125" style="170" customWidth="1"/>
    <col min="26" max="16384" width="9.140625" style="170"/>
  </cols>
  <sheetData>
    <row r="2" spans="2:30" x14ac:dyDescent="0.2">
      <c r="B2" s="160"/>
    </row>
    <row r="3" spans="2:30" x14ac:dyDescent="0.2">
      <c r="B3" s="160"/>
    </row>
    <row r="4" spans="2:30" ht="13.5" thickBot="1" x14ac:dyDescent="0.25">
      <c r="B4" s="60" t="s">
        <v>162</v>
      </c>
      <c r="K4" s="171" t="s">
        <v>1185</v>
      </c>
      <c r="L4" s="171" t="s">
        <v>204</v>
      </c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  <c r="AA4" s="173"/>
      <c r="AB4" s="173"/>
      <c r="AC4" s="173"/>
      <c r="AD4" s="173"/>
    </row>
    <row r="5" spans="2:30" x14ac:dyDescent="0.2"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</row>
    <row r="6" spans="2:30" x14ac:dyDescent="0.2">
      <c r="K6" s="174"/>
      <c r="L6" s="174"/>
      <c r="M6" s="175">
        <v>2009</v>
      </c>
      <c r="N6" s="175">
        <v>2010</v>
      </c>
      <c r="O6" s="175">
        <v>2011</v>
      </c>
      <c r="P6" s="175">
        <v>2012</v>
      </c>
      <c r="Q6" s="175">
        <v>2013</v>
      </c>
      <c r="R6" s="175">
        <v>2014</v>
      </c>
      <c r="S6" s="175">
        <v>2015</v>
      </c>
      <c r="T6" s="175">
        <v>2016</v>
      </c>
      <c r="U6" s="175">
        <v>2017</v>
      </c>
      <c r="V6" s="175">
        <v>2018</v>
      </c>
      <c r="W6" s="175">
        <v>2019</v>
      </c>
      <c r="X6" s="176">
        <v>2020</v>
      </c>
      <c r="Y6" s="176">
        <v>2021</v>
      </c>
    </row>
    <row r="7" spans="2:30" x14ac:dyDescent="0.2">
      <c r="K7" s="191" t="s">
        <v>1186</v>
      </c>
      <c r="L7" s="191" t="s">
        <v>233</v>
      </c>
      <c r="M7" s="177">
        <v>-6.7436592725324829</v>
      </c>
      <c r="N7" s="177">
        <v>-6.7070214070308927</v>
      </c>
      <c r="O7" s="177">
        <v>-4.310080627655636</v>
      </c>
      <c r="P7" s="177">
        <v>-3.6347000193760159</v>
      </c>
      <c r="Q7" s="177">
        <f>'Tabuľka 4'!C9</f>
        <v>-1.9994854438767145</v>
      </c>
      <c r="R7" s="177">
        <f>'Tabuľka 4'!D9</f>
        <v>-2.4116323289850872</v>
      </c>
      <c r="S7" s="177">
        <f>'Tabuľka 4'!E9</f>
        <v>-2.3372686726489862</v>
      </c>
      <c r="T7" s="177">
        <f>'Tabuľka 4'!F9</f>
        <v>-2.1009864074983864</v>
      </c>
      <c r="U7" s="177">
        <f>'Tabuľka 4'!G9</f>
        <v>-0.83153846998002012</v>
      </c>
      <c r="V7" s="177">
        <f>'Tabuľka 4'!H9</f>
        <v>-0.81748292666450073</v>
      </c>
      <c r="W7" s="177">
        <f>'Tabuľka 4'!I9</f>
        <v>-0.57470191992028918</v>
      </c>
      <c r="X7" s="177">
        <f>'Tabuľka 4'!J9</f>
        <v>-0.50392028055833749</v>
      </c>
      <c r="Y7" s="177">
        <f>'Tabuľka 4'!K9</f>
        <v>-0.285663740111401</v>
      </c>
    </row>
    <row r="8" spans="2:30" x14ac:dyDescent="0.2">
      <c r="K8" s="191" t="s">
        <v>1187</v>
      </c>
      <c r="L8" s="191" t="s">
        <v>277</v>
      </c>
      <c r="M8" s="178">
        <f>IMF_TABULKA!G59/IMF_TABULKA!G90*100</f>
        <v>1.4357042679078742</v>
      </c>
      <c r="N8" s="178">
        <f>IMF_TABULKA!H59/IMF_TABULKA!H90*100</f>
        <v>1.2981935587589724</v>
      </c>
      <c r="O8" s="178">
        <f>IMF_TABULKA!I59/IMF_TABULKA!I90*100</f>
        <v>1.5280669821211246</v>
      </c>
      <c r="P8" s="178">
        <f>IMF_TABULKA!J59/IMF_TABULKA!J90*100</f>
        <v>1.7650687663469575</v>
      </c>
      <c r="Q8" s="178">
        <f>IMF_TABULKA!K59/IMF_TABULKA!K90*100</f>
        <v>1.8700827490967928</v>
      </c>
      <c r="R8" s="178">
        <f>IMF_TABULKA!L59/IMF_TABULKA!L90*100</f>
        <v>1.8972834129797094</v>
      </c>
      <c r="S8" s="178">
        <f>IMF_TABULKA!M59/IMF_TABULKA!M90*100</f>
        <v>1.7430384667882819</v>
      </c>
      <c r="T8" s="178">
        <f>IMF_TABULKA!N59/IMF_TABULKA!N90*100</f>
        <v>1.6445581457569665</v>
      </c>
      <c r="U8" s="178">
        <f>IMF_TABULKA!O59/IMF_TABULKA!O90*100</f>
        <v>1.3900151458663821</v>
      </c>
      <c r="V8" s="177">
        <f>IMF_TABULKA!O59/IMF_TABULKA!Q90*100</f>
        <v>1.3058372439982744</v>
      </c>
      <c r="W8" s="177">
        <f>IMF_TABULKA!P59/IMF_TABULKA!R90*100</f>
        <v>1.1741602790223402</v>
      </c>
      <c r="X8" s="177">
        <f>IMF_TABULKA!Q59/IMF_TABULKA!S90*100</f>
        <v>1.096058379457663</v>
      </c>
      <c r="Y8" s="177">
        <f>IMF_TABULKA!R59/IMF_TABULKA!T90*100</f>
        <v>1.030970050908194</v>
      </c>
    </row>
    <row r="9" spans="2:30" x14ac:dyDescent="0.2">
      <c r="K9" s="191" t="s">
        <v>1188</v>
      </c>
      <c r="L9" s="191" t="s">
        <v>278</v>
      </c>
      <c r="M9" s="178">
        <f>M7+M8</f>
        <v>-5.3079550046246089</v>
      </c>
      <c r="N9" s="178">
        <f t="shared" ref="N9:X9" si="0">N7+N8</f>
        <v>-5.4088278482719208</v>
      </c>
      <c r="O9" s="178">
        <f t="shared" si="0"/>
        <v>-2.7820136455345112</v>
      </c>
      <c r="P9" s="178">
        <f t="shared" si="0"/>
        <v>-1.8696312530290584</v>
      </c>
      <c r="Q9" s="178">
        <f t="shared" si="0"/>
        <v>-0.12940269477992161</v>
      </c>
      <c r="R9" s="178">
        <f t="shared" si="0"/>
        <v>-0.5143489160053778</v>
      </c>
      <c r="S9" s="178">
        <f t="shared" si="0"/>
        <v>-0.5942302058607043</v>
      </c>
      <c r="T9" s="178">
        <f t="shared" si="0"/>
        <v>-0.45642826174141993</v>
      </c>
      <c r="U9" s="178">
        <f t="shared" si="0"/>
        <v>0.55847667588636196</v>
      </c>
      <c r="V9" s="177">
        <f t="shared" si="0"/>
        <v>0.48835431733377366</v>
      </c>
      <c r="W9" s="177">
        <f t="shared" si="0"/>
        <v>0.59945835910205103</v>
      </c>
      <c r="X9" s="178">
        <f t="shared" si="0"/>
        <v>0.59213809889932556</v>
      </c>
      <c r="Y9" s="178">
        <f t="shared" ref="Y9" si="1">Y7+Y8</f>
        <v>0.74530631079679299</v>
      </c>
    </row>
    <row r="10" spans="2:30" x14ac:dyDescent="0.2">
      <c r="K10" s="191" t="s">
        <v>1189</v>
      </c>
      <c r="L10" s="191" t="s">
        <v>234</v>
      </c>
      <c r="M10" s="179"/>
      <c r="N10" s="180">
        <f>(N9-M9)</f>
        <v>-0.10087284364731186</v>
      </c>
      <c r="O10" s="180">
        <f t="shared" ref="O10:Y10" si="2">(O9-N9)</f>
        <v>2.6268142027374095</v>
      </c>
      <c r="P10" s="180">
        <f t="shared" si="2"/>
        <v>0.91238239250545283</v>
      </c>
      <c r="Q10" s="180">
        <f t="shared" si="2"/>
        <v>1.7402285582491368</v>
      </c>
      <c r="R10" s="180">
        <f t="shared" si="2"/>
        <v>-0.38494622122545619</v>
      </c>
      <c r="S10" s="180">
        <f t="shared" si="2"/>
        <v>-7.9881289855326498E-2</v>
      </c>
      <c r="T10" s="180">
        <f t="shared" si="2"/>
        <v>0.13780194411928437</v>
      </c>
      <c r="U10" s="180">
        <f t="shared" si="2"/>
        <v>1.0149049376277819</v>
      </c>
      <c r="V10" s="455">
        <f t="shared" si="2"/>
        <v>-7.0122358552588304E-2</v>
      </c>
      <c r="W10" s="455">
        <f>(W9-V9)</f>
        <v>0.11110404176827737</v>
      </c>
      <c r="X10" s="180">
        <f t="shared" si="2"/>
        <v>-7.3202602027254704E-3</v>
      </c>
      <c r="Y10" s="180">
        <f t="shared" si="2"/>
        <v>0.15316821189746743</v>
      </c>
      <c r="Z10" s="173"/>
      <c r="AA10" s="173"/>
      <c r="AB10" s="173"/>
      <c r="AC10" s="173"/>
      <c r="AD10" s="173"/>
    </row>
    <row r="11" spans="2:30" x14ac:dyDescent="0.2">
      <c r="K11" s="191" t="s">
        <v>1190</v>
      </c>
      <c r="L11" s="191" t="s">
        <v>235</v>
      </c>
      <c r="M11" s="182">
        <v>-2.0084330000000001</v>
      </c>
      <c r="N11" s="182">
        <v>-0.43078899999999998</v>
      </c>
      <c r="O11" s="182">
        <v>-1.0340959999999999</v>
      </c>
      <c r="P11" s="182">
        <v>-1.8987639999999999</v>
      </c>
      <c r="Q11" s="182">
        <v>-1.8038250600106522</v>
      </c>
      <c r="R11" s="182">
        <v>-1.433781003285028</v>
      </c>
      <c r="S11" s="182">
        <v>-0.56939472985629158</v>
      </c>
      <c r="T11" s="182">
        <v>-0.20204108893203854</v>
      </c>
      <c r="U11" s="182">
        <v>0.13851173470652545</v>
      </c>
      <c r="V11" s="177">
        <v>0.55284119144566346</v>
      </c>
      <c r="W11" s="177">
        <v>1.2066913895963918</v>
      </c>
      <c r="X11" s="182">
        <v>1.2809644075061895</v>
      </c>
      <c r="Y11" s="182">
        <v>1.2345563159508914</v>
      </c>
      <c r="Z11" s="181"/>
      <c r="AA11" s="181"/>
      <c r="AB11" s="181"/>
      <c r="AC11" s="181"/>
      <c r="AD11" s="181"/>
    </row>
    <row r="12" spans="2:30" x14ac:dyDescent="0.2">
      <c r="K12" s="191" t="s">
        <v>1191</v>
      </c>
      <c r="L12" s="191" t="s">
        <v>236</v>
      </c>
      <c r="M12" s="182"/>
      <c r="N12" s="182">
        <f t="shared" ref="N12:W12" si="3">N11-M11</f>
        <v>1.5776440000000003</v>
      </c>
      <c r="O12" s="182">
        <f t="shared" si="3"/>
        <v>-0.60330699999999993</v>
      </c>
      <c r="P12" s="182">
        <f t="shared" si="3"/>
        <v>-0.86466799999999999</v>
      </c>
      <c r="Q12" s="182">
        <f t="shared" si="3"/>
        <v>9.4938939989347659E-2</v>
      </c>
      <c r="R12" s="182">
        <f t="shared" si="3"/>
        <v>0.37004405672562424</v>
      </c>
      <c r="S12" s="182">
        <f t="shared" si="3"/>
        <v>0.86438627342873642</v>
      </c>
      <c r="T12" s="182">
        <f t="shared" si="3"/>
        <v>0.36735364092425304</v>
      </c>
      <c r="U12" s="182">
        <f t="shared" si="3"/>
        <v>0.34055282363856398</v>
      </c>
      <c r="V12" s="177">
        <f t="shared" si="3"/>
        <v>0.41432945673913801</v>
      </c>
      <c r="W12" s="177">
        <f t="shared" si="3"/>
        <v>0.65385019815072831</v>
      </c>
      <c r="X12" s="182">
        <f>X11-W11</f>
        <v>7.4273017909797678E-2</v>
      </c>
      <c r="Y12" s="182">
        <f>Y11-X11</f>
        <v>-4.6408091555298014E-2</v>
      </c>
      <c r="Z12" s="173"/>
      <c r="AA12" s="173"/>
      <c r="AB12" s="173"/>
      <c r="AC12" s="173"/>
      <c r="AD12" s="173"/>
    </row>
    <row r="13" spans="2:30" x14ac:dyDescent="0.2"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3"/>
      <c r="AA13" s="173"/>
      <c r="AB13" s="173"/>
      <c r="AC13" s="173"/>
      <c r="AD13" s="173"/>
    </row>
    <row r="14" spans="2:30" x14ac:dyDescent="0.2">
      <c r="K14" s="174"/>
      <c r="L14" s="174"/>
      <c r="M14" s="175"/>
      <c r="N14" s="175">
        <v>2010</v>
      </c>
      <c r="O14" s="175">
        <v>2011</v>
      </c>
      <c r="P14" s="175">
        <v>2012</v>
      </c>
      <c r="Q14" s="175">
        <v>2013</v>
      </c>
      <c r="R14" s="175">
        <v>2014</v>
      </c>
      <c r="S14" s="175">
        <v>2015</v>
      </c>
      <c r="T14" s="175">
        <v>2016</v>
      </c>
      <c r="U14" s="175">
        <v>2017</v>
      </c>
      <c r="V14" s="175">
        <v>2018</v>
      </c>
      <c r="W14" s="175">
        <v>2019</v>
      </c>
      <c r="X14" s="175">
        <v>2020</v>
      </c>
      <c r="Y14" s="175">
        <v>2021</v>
      </c>
      <c r="Z14" s="173"/>
      <c r="AA14" s="173"/>
      <c r="AB14" s="173"/>
      <c r="AC14" s="173"/>
      <c r="AD14" s="173"/>
    </row>
    <row r="15" spans="2:30" x14ac:dyDescent="0.2">
      <c r="K15" s="191" t="s">
        <v>1187</v>
      </c>
      <c r="L15" s="191" t="s">
        <v>277</v>
      </c>
      <c r="M15" s="183">
        <f>IMF_TABULKA!G59</f>
        <v>916.245</v>
      </c>
      <c r="N15" s="183">
        <f>IMF_TABULKA!H59</f>
        <v>877.28399999999999</v>
      </c>
      <c r="O15" s="183">
        <f>IMF_TABULKA!I59</f>
        <v>1079.231</v>
      </c>
      <c r="P15" s="183">
        <f>IMF_TABULKA!J59</f>
        <v>1283.2670000000001</v>
      </c>
      <c r="Q15" s="183">
        <f>IMF_TABULKA!K59</f>
        <v>1387.038</v>
      </c>
      <c r="R15" s="183">
        <f>IMF_TABULKA!L59</f>
        <v>1443.6010000000001</v>
      </c>
      <c r="S15" s="183">
        <f>IMF_TABULKA!M59</f>
        <v>1379.41</v>
      </c>
      <c r="T15" s="183">
        <f>IMF_TABULKA!N59</f>
        <v>1335.81</v>
      </c>
      <c r="U15" s="183">
        <f>IMF_TABULKA!O59</f>
        <v>1179.44</v>
      </c>
      <c r="V15" s="183">
        <f>IMF_TABULKA!P59</f>
        <v>1135.8499999999999</v>
      </c>
      <c r="W15" s="183">
        <f>IMF_TABULKA!R59</f>
        <v>1124.79</v>
      </c>
      <c r="X15" s="183">
        <f>IMF_TABULKA!S59</f>
        <v>1094.8599999999999</v>
      </c>
      <c r="Y15" s="183">
        <f>IMF_TABULKA!T59</f>
        <v>1111.74</v>
      </c>
      <c r="Z15" s="173"/>
      <c r="AA15" s="173"/>
      <c r="AB15" s="173"/>
      <c r="AC15" s="173"/>
      <c r="AD15" s="173"/>
    </row>
    <row r="16" spans="2:30" x14ac:dyDescent="0.2">
      <c r="K16" s="191" t="s">
        <v>939</v>
      </c>
      <c r="L16" s="191" t="s">
        <v>94</v>
      </c>
      <c r="M16" s="184">
        <v>-4.9964929999999983</v>
      </c>
      <c r="N16" s="184">
        <v>-5.0581069999999997</v>
      </c>
      <c r="O16" s="184">
        <v>-3.0206909999999989</v>
      </c>
      <c r="P16" s="184">
        <v>-3.1588849999999984</v>
      </c>
      <c r="Q16" s="184">
        <v>-2.0174120000000002</v>
      </c>
      <c r="R16" s="184">
        <v>-2.0561159999999981</v>
      </c>
      <c r="S16" s="184">
        <v>-2.1595899999999966</v>
      </c>
      <c r="T16" s="184">
        <v>-1.7739130000000005</v>
      </c>
      <c r="U16" s="184">
        <v>-1.3755500000000029</v>
      </c>
      <c r="V16" s="184">
        <v>-0.74281100000000155</v>
      </c>
      <c r="W16" s="184">
        <v>-0.30944699999999287</v>
      </c>
      <c r="X16" s="184">
        <v>-0.27302799999999844</v>
      </c>
      <c r="Y16" s="184">
        <v>0.72697200000000195</v>
      </c>
      <c r="Z16" s="173"/>
      <c r="AA16" s="173"/>
      <c r="AB16" s="173"/>
      <c r="AC16" s="173"/>
      <c r="AD16" s="173"/>
    </row>
    <row r="17" spans="2:30" x14ac:dyDescent="0.2"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3"/>
      <c r="Y17" s="173"/>
      <c r="Z17" s="173"/>
      <c r="AA17" s="173"/>
      <c r="AB17" s="173"/>
      <c r="AC17" s="173"/>
      <c r="AD17" s="173"/>
    </row>
    <row r="18" spans="2:30" x14ac:dyDescent="0.2">
      <c r="L18" s="174"/>
      <c r="M18" s="185"/>
      <c r="N18" s="185"/>
      <c r="O18" s="185"/>
      <c r="P18" s="185"/>
      <c r="Q18" s="185"/>
      <c r="R18" s="185"/>
      <c r="S18" s="185"/>
      <c r="T18" s="186"/>
      <c r="U18" s="186"/>
      <c r="V18" s="186"/>
      <c r="W18" s="186"/>
      <c r="X18" s="174"/>
      <c r="Y18" s="174"/>
      <c r="Z18" s="174"/>
      <c r="AA18" s="174"/>
      <c r="AB18" s="174"/>
      <c r="AC18" s="173"/>
      <c r="AD18" s="173"/>
    </row>
    <row r="19" spans="2:30" ht="13.5" thickBot="1" x14ac:dyDescent="0.25">
      <c r="K19" s="187" t="s">
        <v>1193</v>
      </c>
      <c r="L19" s="187" t="s">
        <v>380</v>
      </c>
      <c r="R19" s="188"/>
      <c r="S19" s="187"/>
      <c r="T19" s="187"/>
      <c r="U19" s="187"/>
      <c r="V19" s="187"/>
      <c r="W19" s="187"/>
      <c r="X19" s="187"/>
      <c r="Y19" s="187"/>
      <c r="Z19" s="174"/>
      <c r="AA19" s="174"/>
      <c r="AB19" s="174"/>
      <c r="AC19" s="173"/>
      <c r="AD19" s="173"/>
    </row>
    <row r="20" spans="2:30" ht="13.5" thickBot="1" x14ac:dyDescent="0.25">
      <c r="K20" s="733"/>
      <c r="L20" s="412"/>
      <c r="R20" s="412"/>
      <c r="S20" s="412">
        <v>2015</v>
      </c>
      <c r="T20" s="412">
        <v>2016</v>
      </c>
      <c r="U20" s="412">
        <v>2017</v>
      </c>
      <c r="V20" s="412">
        <v>2018</v>
      </c>
      <c r="W20" s="412">
        <v>2019</v>
      </c>
      <c r="X20" s="412">
        <v>2020</v>
      </c>
      <c r="Y20" s="412">
        <v>2021</v>
      </c>
      <c r="Z20" s="185"/>
      <c r="AA20" s="185"/>
      <c r="AB20" s="185"/>
    </row>
    <row r="21" spans="2:30" x14ac:dyDescent="0.2">
      <c r="K21" s="731" t="s">
        <v>1192</v>
      </c>
      <c r="L21" s="27" t="s">
        <v>156</v>
      </c>
      <c r="R21" s="153"/>
      <c r="S21" s="415">
        <f t="shared" ref="S21:Y21" si="4">S9</f>
        <v>-0.5942302058607043</v>
      </c>
      <c r="T21" s="415">
        <f t="shared" si="4"/>
        <v>-0.45642826174141993</v>
      </c>
      <c r="U21" s="415">
        <f t="shared" si="4"/>
        <v>0.55847667588636196</v>
      </c>
      <c r="V21" s="415">
        <f t="shared" si="4"/>
        <v>0.48835431733377366</v>
      </c>
      <c r="W21" s="415">
        <f t="shared" si="4"/>
        <v>0.59945835910205103</v>
      </c>
      <c r="X21" s="415">
        <f t="shared" si="4"/>
        <v>0.59213809889932556</v>
      </c>
      <c r="Y21" s="415">
        <f t="shared" si="4"/>
        <v>0.74530631079679299</v>
      </c>
      <c r="Z21" s="185"/>
      <c r="AA21" s="185"/>
      <c r="AB21" s="185"/>
    </row>
    <row r="22" spans="2:30" ht="13.5" thickBot="1" x14ac:dyDescent="0.25">
      <c r="B22" s="60" t="s">
        <v>163</v>
      </c>
      <c r="K22" s="58" t="s">
        <v>1190</v>
      </c>
      <c r="L22" s="58" t="s">
        <v>157</v>
      </c>
      <c r="R22" s="158"/>
      <c r="S22" s="2">
        <f t="shared" ref="S22:Y22" si="5">S11</f>
        <v>-0.56939472985629158</v>
      </c>
      <c r="T22" s="2">
        <f t="shared" si="5"/>
        <v>-0.20204108893203854</v>
      </c>
      <c r="U22" s="2">
        <f t="shared" si="5"/>
        <v>0.13851173470652545</v>
      </c>
      <c r="V22" s="2">
        <f t="shared" si="5"/>
        <v>0.55284119144566346</v>
      </c>
      <c r="W22" s="2">
        <f t="shared" si="5"/>
        <v>1.2066913895963918</v>
      </c>
      <c r="X22" s="2">
        <f t="shared" si="5"/>
        <v>1.2809644075061895</v>
      </c>
      <c r="Y22" s="2">
        <f t="shared" si="5"/>
        <v>1.2345563159508914</v>
      </c>
      <c r="Z22" s="185"/>
      <c r="AA22" s="185"/>
      <c r="AB22" s="185"/>
    </row>
    <row r="23" spans="2:30" ht="13.5" thickBot="1" x14ac:dyDescent="0.25">
      <c r="Q23" s="189"/>
      <c r="R23" s="189"/>
      <c r="T23" s="189"/>
      <c r="U23" s="189"/>
      <c r="V23" s="189"/>
      <c r="W23" s="189"/>
      <c r="X23" s="189"/>
      <c r="Y23" s="189" t="s">
        <v>3</v>
      </c>
      <c r="Z23" s="185"/>
      <c r="AA23" s="185"/>
      <c r="AB23" s="185"/>
    </row>
    <row r="24" spans="2:30" x14ac:dyDescent="0.2"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9" t="s">
        <v>1194</v>
      </c>
      <c r="Z24" s="185"/>
      <c r="AA24" s="185"/>
      <c r="AB24" s="185"/>
    </row>
    <row r="25" spans="2:30" x14ac:dyDescent="0.2"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</row>
    <row r="26" spans="2:30" x14ac:dyDescent="0.2"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</row>
    <row r="51" spans="2:5" x14ac:dyDescent="0.2">
      <c r="B51" s="60" t="s">
        <v>1195</v>
      </c>
    </row>
    <row r="52" spans="2:5" x14ac:dyDescent="0.2">
      <c r="E52" s="190"/>
    </row>
    <row r="53" spans="2:5" x14ac:dyDescent="0.2">
      <c r="E53" s="190"/>
    </row>
    <row r="72" spans="2:2" x14ac:dyDescent="0.2">
      <c r="B72" s="60" t="s">
        <v>1196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B3:V52"/>
  <sheetViews>
    <sheetView showGridLines="0" topLeftCell="A40" zoomScaleNormal="100" zoomScalePageLayoutView="90" workbookViewId="0">
      <selection activeCell="H53" sqref="H53"/>
    </sheetView>
  </sheetViews>
  <sheetFormatPr defaultColWidth="8.85546875" defaultRowHeight="12.75" x14ac:dyDescent="0.2"/>
  <cols>
    <col min="1" max="1" width="8.85546875" style="365"/>
    <col min="2" max="2" width="10" style="365" customWidth="1"/>
    <col min="3" max="4" width="8.140625" style="365" customWidth="1"/>
    <col min="5" max="6" width="8.28515625" style="365" customWidth="1"/>
    <col min="7" max="7" width="5" style="365" bestFit="1" customWidth="1"/>
    <col min="8" max="12" width="8" style="365" customWidth="1"/>
    <col min="13" max="13" width="9" style="365" customWidth="1"/>
    <col min="14" max="14" width="33.140625" style="365" bestFit="1" customWidth="1"/>
    <col min="15" max="15" width="33.140625" style="365" customWidth="1"/>
    <col min="16" max="20" width="7.7109375" style="365" customWidth="1"/>
    <col min="21" max="16384" width="8.85546875" style="365"/>
  </cols>
  <sheetData>
    <row r="3" spans="2:22" x14ac:dyDescent="0.2">
      <c r="N3" s="366"/>
      <c r="O3" s="366"/>
    </row>
    <row r="4" spans="2:22" ht="27.75" customHeight="1" thickBot="1" x14ac:dyDescent="0.25">
      <c r="B4" s="828" t="s">
        <v>807</v>
      </c>
      <c r="C4" s="828"/>
      <c r="D4" s="828"/>
      <c r="E4" s="828"/>
      <c r="F4" s="828"/>
      <c r="G4" s="828"/>
      <c r="H4" s="828"/>
      <c r="N4" s="367" t="s">
        <v>245</v>
      </c>
      <c r="O4" s="367" t="s">
        <v>1197</v>
      </c>
      <c r="P4" s="368"/>
      <c r="Q4" s="368"/>
      <c r="R4" s="368"/>
      <c r="S4" s="368"/>
      <c r="T4" s="368"/>
      <c r="U4" s="368"/>
    </row>
    <row r="5" spans="2:22" x14ac:dyDescent="0.2">
      <c r="O5" s="746"/>
      <c r="P5" s="369">
        <v>2016</v>
      </c>
      <c r="Q5" s="369">
        <v>2017</v>
      </c>
      <c r="R5" s="369">
        <v>2018</v>
      </c>
      <c r="S5" s="369">
        <v>2019</v>
      </c>
      <c r="T5" s="369">
        <v>2020</v>
      </c>
      <c r="U5" s="369">
        <v>2021</v>
      </c>
    </row>
    <row r="6" spans="2:22" x14ac:dyDescent="0.2">
      <c r="N6" s="365" t="s">
        <v>598</v>
      </c>
      <c r="O6" s="746" t="s">
        <v>1207</v>
      </c>
      <c r="P6" s="370">
        <f>P20</f>
        <v>-2.0362071520030711</v>
      </c>
      <c r="Q6" s="370">
        <f t="shared" ref="Q6:T6" si="0">Q20</f>
        <v>-1.0769884619963133</v>
      </c>
      <c r="R6" s="370">
        <f t="shared" si="0"/>
        <v>-1.0219281882893039</v>
      </c>
      <c r="S6" s="370">
        <f>S20</f>
        <v>-0.7476754017966265</v>
      </c>
      <c r="T6" s="370">
        <f t="shared" si="0"/>
        <v>-0.42765578470995369</v>
      </c>
      <c r="U6" s="370">
        <f t="shared" ref="U6" si="1">U20</f>
        <v>-0.31261420543608148</v>
      </c>
    </row>
    <row r="7" spans="2:22" x14ac:dyDescent="0.2">
      <c r="N7" s="365" t="s">
        <v>600</v>
      </c>
      <c r="O7" s="746" t="s">
        <v>1208</v>
      </c>
      <c r="P7" s="370">
        <f t="shared" ref="P7:T7" si="2">P14</f>
        <v>-2.1009864074983864</v>
      </c>
      <c r="Q7" s="370">
        <f t="shared" si="2"/>
        <v>-0.83153846998002012</v>
      </c>
      <c r="R7" s="370">
        <f t="shared" si="2"/>
        <v>-0.81748292666450073</v>
      </c>
      <c r="S7" s="370">
        <f>S14</f>
        <v>-0.57470191992028918</v>
      </c>
      <c r="T7" s="370">
        <f t="shared" si="2"/>
        <v>-0.50392028055833749</v>
      </c>
      <c r="U7" s="370">
        <f t="shared" ref="U7" si="3">U14</f>
        <v>-0.285663740111401</v>
      </c>
    </row>
    <row r="8" spans="2:22" x14ac:dyDescent="0.2">
      <c r="N8" s="365" t="s">
        <v>238</v>
      </c>
      <c r="O8" s="746" t="s">
        <v>1198</v>
      </c>
      <c r="P8" s="370">
        <f>P7-P6</f>
        <v>-6.4779255495315269E-2</v>
      </c>
      <c r="Q8" s="370">
        <f>Q7-Q6</f>
        <v>0.24544999201629314</v>
      </c>
      <c r="R8" s="370">
        <f t="shared" ref="R8:T8" si="4">R7-R6</f>
        <v>0.20444526162480314</v>
      </c>
      <c r="S8" s="370">
        <f t="shared" si="4"/>
        <v>0.17297348187633732</v>
      </c>
      <c r="T8" s="370">
        <f t="shared" si="4"/>
        <v>-7.6264495848383795E-2</v>
      </c>
      <c r="U8" s="370">
        <f t="shared" ref="U8" si="5">U7-U6</f>
        <v>2.6950465324680484E-2</v>
      </c>
    </row>
    <row r="9" spans="2:22" x14ac:dyDescent="0.2">
      <c r="N9" s="371" t="s">
        <v>621</v>
      </c>
      <c r="O9" s="747" t="s">
        <v>1199</v>
      </c>
      <c r="P9" s="370">
        <f t="shared" ref="P9:T9" si="6">P27</f>
        <v>-4.9435706951004604E-2</v>
      </c>
      <c r="Q9" s="370">
        <f t="shared" si="6"/>
        <v>-1.8228041581701292E-2</v>
      </c>
      <c r="R9" s="370">
        <f t="shared" si="6"/>
        <v>5.3431358245137894E-3</v>
      </c>
      <c r="S9" s="370">
        <f t="shared" si="6"/>
        <v>-4.2203203514993626E-2</v>
      </c>
      <c r="T9" s="370">
        <f t="shared" si="6"/>
        <v>-7.6264495848383795E-2</v>
      </c>
      <c r="U9" s="370">
        <f t="shared" ref="U9" si="7">U27</f>
        <v>-0.17304953467531953</v>
      </c>
    </row>
    <row r="10" spans="2:22" x14ac:dyDescent="0.2">
      <c r="N10" s="371" t="s">
        <v>622</v>
      </c>
      <c r="O10" s="747" t="s">
        <v>1200</v>
      </c>
      <c r="P10" s="370">
        <f t="shared" ref="P10:T10" si="8">-P29</f>
        <v>-1.5343548544310526E-2</v>
      </c>
      <c r="Q10" s="370">
        <f t="shared" si="8"/>
        <v>0.26367803359799447</v>
      </c>
      <c r="R10" s="370">
        <f t="shared" si="8"/>
        <v>0.19910212580028941</v>
      </c>
      <c r="S10" s="370">
        <f t="shared" si="8"/>
        <v>0.21517668539133092</v>
      </c>
      <c r="T10" s="370">
        <f t="shared" si="8"/>
        <v>0</v>
      </c>
      <c r="U10" s="370">
        <f t="shared" ref="U10" si="9">-U29</f>
        <v>0.2</v>
      </c>
      <c r="V10" s="366"/>
    </row>
    <row r="11" spans="2:22" ht="13.5" thickBot="1" x14ac:dyDescent="0.25">
      <c r="N11" s="371" t="s">
        <v>623</v>
      </c>
      <c r="O11" s="747" t="s">
        <v>240</v>
      </c>
      <c r="P11" s="370">
        <f t="shared" ref="P11:T11" si="10">P28</f>
        <v>0</v>
      </c>
      <c r="Q11" s="370">
        <f t="shared" si="10"/>
        <v>0</v>
      </c>
      <c r="R11" s="370">
        <f t="shared" si="10"/>
        <v>0</v>
      </c>
      <c r="S11" s="370">
        <f t="shared" si="10"/>
        <v>0</v>
      </c>
      <c r="T11" s="370">
        <f t="shared" si="10"/>
        <v>0</v>
      </c>
      <c r="U11" s="370">
        <f t="shared" ref="U11" si="11">U28</f>
        <v>0</v>
      </c>
      <c r="V11" s="366"/>
    </row>
    <row r="12" spans="2:22" ht="13.5" thickBot="1" x14ac:dyDescent="0.25">
      <c r="N12" s="372" t="s">
        <v>155</v>
      </c>
      <c r="O12" s="748" t="s">
        <v>155</v>
      </c>
      <c r="P12" s="373">
        <f>P8+P26</f>
        <v>0</v>
      </c>
      <c r="Q12" s="373">
        <f>Q8+Q26</f>
        <v>0</v>
      </c>
      <c r="R12" s="373">
        <f t="shared" ref="R12:T12" si="12">R8+R26</f>
        <v>0</v>
      </c>
      <c r="S12" s="373">
        <f t="shared" si="12"/>
        <v>0</v>
      </c>
      <c r="T12" s="374">
        <f t="shared" si="12"/>
        <v>0</v>
      </c>
      <c r="U12" s="374">
        <f t="shared" ref="U12" si="13">U8+U26</f>
        <v>0</v>
      </c>
      <c r="V12" s="366"/>
    </row>
    <row r="13" spans="2:22" x14ac:dyDescent="0.2">
      <c r="N13" s="375" t="s">
        <v>244</v>
      </c>
      <c r="O13" s="375" t="s">
        <v>244</v>
      </c>
      <c r="P13" s="370"/>
      <c r="Q13" s="370"/>
      <c r="R13" s="370"/>
      <c r="S13" s="370"/>
      <c r="T13" s="370"/>
      <c r="U13" s="370"/>
      <c r="V13" s="366"/>
    </row>
    <row r="14" spans="2:22" x14ac:dyDescent="0.2">
      <c r="N14" s="371" t="s">
        <v>241</v>
      </c>
      <c r="O14" s="747" t="s">
        <v>1201</v>
      </c>
      <c r="P14" s="370">
        <f t="shared" ref="P14:T14" si="14">P17-P15-P16</f>
        <v>-2.1009864074983864</v>
      </c>
      <c r="Q14" s="370">
        <f t="shared" si="14"/>
        <v>-0.83153846998002012</v>
      </c>
      <c r="R14" s="370">
        <f t="shared" si="14"/>
        <v>-0.81748292666450073</v>
      </c>
      <c r="S14" s="370">
        <f>S17-S15-S16</f>
        <v>-0.57470191992028918</v>
      </c>
      <c r="T14" s="370">
        <f t="shared" si="14"/>
        <v>-0.50392028055833749</v>
      </c>
      <c r="U14" s="370">
        <f t="shared" ref="U14" si="15">U17-U15-U16</f>
        <v>-0.285663740111401</v>
      </c>
      <c r="V14" s="366"/>
    </row>
    <row r="15" spans="2:22" x14ac:dyDescent="0.2">
      <c r="N15" s="371" t="s">
        <v>154</v>
      </c>
      <c r="O15" s="747" t="s">
        <v>1199</v>
      </c>
      <c r="P15" s="370">
        <f>'Tabuľka 4'!F7</f>
        <v>-7.9481210892624221E-2</v>
      </c>
      <c r="Q15" s="370">
        <f>'Tabuľka 4'!G7</f>
        <v>5.4489314304852814E-2</v>
      </c>
      <c r="R15" s="370">
        <f>'Tabuľka 4'!H7</f>
        <v>0.21748292666450078</v>
      </c>
      <c r="S15" s="370">
        <f>'Tabuľka 4'!I7</f>
        <v>0.47470191992028921</v>
      </c>
      <c r="T15" s="370">
        <f>'Tabuľka 4'!J7</f>
        <v>0.50392028055833749</v>
      </c>
      <c r="U15" s="370">
        <f>'Tabuľka 4'!K7</f>
        <v>0.48566374011140101</v>
      </c>
    </row>
    <row r="16" spans="2:22" x14ac:dyDescent="0.2">
      <c r="N16" s="365" t="s">
        <v>240</v>
      </c>
      <c r="O16" s="746" t="s">
        <v>240</v>
      </c>
      <c r="P16" s="370">
        <f>'Tabuľka 4'!F8</f>
        <v>-4.137191335638802E-2</v>
      </c>
      <c r="Q16" s="370">
        <f>'Tabuľka 4'!G8</f>
        <v>0</v>
      </c>
      <c r="R16" s="370">
        <f>'Tabuľka 4'!H8</f>
        <v>0</v>
      </c>
      <c r="S16" s="370">
        <f>'Tabuľka 4'!I8</f>
        <v>0</v>
      </c>
      <c r="T16" s="370">
        <f>'Tabuľka 4'!J8</f>
        <v>0</v>
      </c>
      <c r="U16" s="370">
        <f>'Tabuľka 4'!K8</f>
        <v>0</v>
      </c>
    </row>
    <row r="17" spans="2:21" x14ac:dyDescent="0.2">
      <c r="N17" s="371" t="s">
        <v>239</v>
      </c>
      <c r="O17" s="747" t="s">
        <v>1202</v>
      </c>
      <c r="P17" s="370">
        <f>'Tabuľka 4'!F6</f>
        <v>-2.2218395317473987</v>
      </c>
      <c r="Q17" s="370">
        <f>'Tabuľka 4'!G6</f>
        <v>-0.7770491556751673</v>
      </c>
      <c r="R17" s="370">
        <f>'Tabuľka 4'!H6</f>
        <v>-0.6</v>
      </c>
      <c r="S17" s="370">
        <f>'Tabuľka 4'!I6</f>
        <v>-0.1</v>
      </c>
      <c r="T17" s="370">
        <f>'Tabuľka 4'!J6</f>
        <v>0</v>
      </c>
      <c r="U17" s="370">
        <f>'Tabuľka 4'!K6</f>
        <v>0.2</v>
      </c>
    </row>
    <row r="18" spans="2:21" x14ac:dyDescent="0.2">
      <c r="N18" s="371"/>
      <c r="O18" s="747"/>
      <c r="P18" s="370"/>
      <c r="Q18" s="370"/>
      <c r="R18" s="370"/>
      <c r="S18" s="370"/>
      <c r="T18" s="370"/>
      <c r="U18" s="370"/>
    </row>
    <row r="19" spans="2:21" x14ac:dyDescent="0.2">
      <c r="B19" s="828" t="s">
        <v>808</v>
      </c>
      <c r="C19" s="828"/>
      <c r="D19" s="828"/>
      <c r="E19" s="828"/>
      <c r="F19" s="828"/>
      <c r="G19" s="828"/>
      <c r="H19" s="828"/>
      <c r="N19" s="375" t="s">
        <v>243</v>
      </c>
      <c r="O19" s="375" t="s">
        <v>1203</v>
      </c>
      <c r="P19" s="370"/>
      <c r="Q19" s="370"/>
      <c r="R19" s="370"/>
      <c r="S19" s="370"/>
      <c r="T19" s="370"/>
      <c r="U19" s="370"/>
    </row>
    <row r="20" spans="2:21" x14ac:dyDescent="0.2">
      <c r="N20" s="371" t="s">
        <v>241</v>
      </c>
      <c r="O20" s="747" t="s">
        <v>1201</v>
      </c>
      <c r="P20" s="370">
        <f t="shared" ref="P20:T20" si="16">P23-P21-P22</f>
        <v>-2.0362071520030711</v>
      </c>
      <c r="Q20" s="370">
        <f t="shared" si="16"/>
        <v>-1.0769884619963133</v>
      </c>
      <c r="R20" s="370">
        <f t="shared" si="16"/>
        <v>-1.0219281882893039</v>
      </c>
      <c r="S20" s="370">
        <f t="shared" si="16"/>
        <v>-0.7476754017966265</v>
      </c>
      <c r="T20" s="370">
        <f t="shared" si="16"/>
        <v>-0.42765578470995369</v>
      </c>
      <c r="U20" s="370">
        <f t="shared" ref="U20" si="17">U23-U21-U22</f>
        <v>-0.31261420543608148</v>
      </c>
    </row>
    <row r="21" spans="2:21" x14ac:dyDescent="0.2">
      <c r="N21" s="371" t="s">
        <v>154</v>
      </c>
      <c r="O21" s="747" t="s">
        <v>1199</v>
      </c>
      <c r="P21" s="370">
        <v>-0.12891691784362883</v>
      </c>
      <c r="Q21" s="370">
        <v>3.6261272723151522E-2</v>
      </c>
      <c r="R21" s="370">
        <v>0.22282606248901457</v>
      </c>
      <c r="S21" s="370">
        <v>0.43249871640529558</v>
      </c>
      <c r="T21" s="370">
        <v>0.42765578470995369</v>
      </c>
      <c r="U21" s="370">
        <v>0.31261420543608148</v>
      </c>
    </row>
    <row r="22" spans="2:21" x14ac:dyDescent="0.2">
      <c r="N22" s="365" t="s">
        <v>240</v>
      </c>
      <c r="O22" s="746" t="s">
        <v>240</v>
      </c>
      <c r="P22" s="370">
        <v>-4.137191335638802E-2</v>
      </c>
      <c r="Q22" s="370">
        <v>0</v>
      </c>
      <c r="R22" s="370">
        <v>0</v>
      </c>
      <c r="S22" s="370">
        <v>0</v>
      </c>
      <c r="T22" s="370">
        <v>0</v>
      </c>
      <c r="U22" s="370">
        <v>0</v>
      </c>
    </row>
    <row r="23" spans="2:21" x14ac:dyDescent="0.2">
      <c r="N23" s="371" t="s">
        <v>239</v>
      </c>
      <c r="O23" s="747" t="s">
        <v>1202</v>
      </c>
      <c r="P23" s="370">
        <v>-2.2064959832030882</v>
      </c>
      <c r="Q23" s="370">
        <v>-1.0407271892731618</v>
      </c>
      <c r="R23" s="370">
        <v>-0.79910212580028939</v>
      </c>
      <c r="S23" s="370">
        <v>-0.31517668539133092</v>
      </c>
      <c r="T23" s="370">
        <v>0</v>
      </c>
      <c r="U23" s="370">
        <v>0</v>
      </c>
    </row>
    <row r="24" spans="2:21" x14ac:dyDescent="0.2">
      <c r="O24" s="746"/>
      <c r="P24" s="370"/>
      <c r="Q24" s="370"/>
      <c r="R24" s="370"/>
      <c r="S24" s="370"/>
      <c r="T24" s="370"/>
      <c r="U24" s="370"/>
    </row>
    <row r="25" spans="2:21" x14ac:dyDescent="0.2">
      <c r="N25" s="375" t="s">
        <v>242</v>
      </c>
      <c r="O25" s="375" t="s">
        <v>1204</v>
      </c>
      <c r="P25" s="370"/>
      <c r="Q25" s="370"/>
      <c r="R25" s="370"/>
      <c r="S25" s="370"/>
      <c r="T25" s="370"/>
      <c r="U25" s="370"/>
    </row>
    <row r="26" spans="2:21" x14ac:dyDescent="0.2">
      <c r="N26" s="371" t="s">
        <v>241</v>
      </c>
      <c r="O26" s="747" t="s">
        <v>1201</v>
      </c>
      <c r="P26" s="370">
        <f t="shared" ref="P26:T26" si="18">P20-P14</f>
        <v>6.4779255495315269E-2</v>
      </c>
      <c r="Q26" s="370">
        <f t="shared" si="18"/>
        <v>-0.24544999201629314</v>
      </c>
      <c r="R26" s="370">
        <f t="shared" si="18"/>
        <v>-0.20444526162480314</v>
      </c>
      <c r="S26" s="370">
        <f t="shared" si="18"/>
        <v>-0.17297348187633732</v>
      </c>
      <c r="T26" s="370">
        <f t="shared" si="18"/>
        <v>7.6264495848383795E-2</v>
      </c>
      <c r="U26" s="370">
        <f t="shared" ref="U26" si="19">U20-U14</f>
        <v>-2.6950465324680484E-2</v>
      </c>
    </row>
    <row r="27" spans="2:21" x14ac:dyDescent="0.2">
      <c r="N27" s="371" t="s">
        <v>154</v>
      </c>
      <c r="O27" s="747" t="s">
        <v>1199</v>
      </c>
      <c r="P27" s="370">
        <f>P21-P15</f>
        <v>-4.9435706951004604E-2</v>
      </c>
      <c r="Q27" s="370">
        <f t="shared" ref="P27:T28" si="20">Q21-Q15</f>
        <v>-1.8228041581701292E-2</v>
      </c>
      <c r="R27" s="370">
        <f>R21-R15</f>
        <v>5.3431358245137894E-3</v>
      </c>
      <c r="S27" s="370">
        <f>S21-S15</f>
        <v>-4.2203203514993626E-2</v>
      </c>
      <c r="T27" s="370">
        <f t="shared" si="20"/>
        <v>-7.6264495848383795E-2</v>
      </c>
      <c r="U27" s="370">
        <f t="shared" ref="U27" si="21">U21-U15</f>
        <v>-0.17304953467531953</v>
      </c>
    </row>
    <row r="28" spans="2:21" x14ac:dyDescent="0.2">
      <c r="N28" s="365" t="s">
        <v>240</v>
      </c>
      <c r="O28" s="746" t="s">
        <v>240</v>
      </c>
      <c r="P28" s="370">
        <f t="shared" si="20"/>
        <v>0</v>
      </c>
      <c r="Q28" s="370">
        <f t="shared" si="20"/>
        <v>0</v>
      </c>
      <c r="R28" s="370">
        <f t="shared" si="20"/>
        <v>0</v>
      </c>
      <c r="S28" s="370">
        <f t="shared" si="20"/>
        <v>0</v>
      </c>
      <c r="T28" s="370">
        <f t="shared" si="20"/>
        <v>0</v>
      </c>
      <c r="U28" s="370">
        <f t="shared" ref="U28" si="22">U22-U16</f>
        <v>0</v>
      </c>
    </row>
    <row r="29" spans="2:21" ht="17.100000000000001" customHeight="1" x14ac:dyDescent="0.2">
      <c r="N29" s="371" t="s">
        <v>239</v>
      </c>
      <c r="O29" s="747" t="s">
        <v>1202</v>
      </c>
      <c r="P29" s="370">
        <f t="shared" ref="P29:U29" si="23">P23-P17</f>
        <v>1.5343548544310526E-2</v>
      </c>
      <c r="Q29" s="370">
        <f t="shared" si="23"/>
        <v>-0.26367803359799447</v>
      </c>
      <c r="R29" s="370">
        <f t="shared" si="23"/>
        <v>-0.19910212580028941</v>
      </c>
      <c r="S29" s="370">
        <f t="shared" si="23"/>
        <v>-0.21517668539133092</v>
      </c>
      <c r="T29" s="370">
        <f t="shared" si="23"/>
        <v>0</v>
      </c>
      <c r="U29" s="370">
        <f t="shared" si="23"/>
        <v>-0.2</v>
      </c>
    </row>
    <row r="30" spans="2:21" ht="17.100000000000001" customHeight="1" x14ac:dyDescent="0.2"/>
    <row r="31" spans="2:21" ht="17.100000000000001" customHeight="1" x14ac:dyDescent="0.2"/>
    <row r="32" spans="2:21" ht="17.100000000000001" customHeight="1" x14ac:dyDescent="0.2"/>
    <row r="33" spans="2:8" ht="17.100000000000001" customHeight="1" x14ac:dyDescent="0.2"/>
    <row r="34" spans="2:8" ht="17.100000000000001" customHeight="1" x14ac:dyDescent="0.2"/>
    <row r="35" spans="2:8" ht="17.100000000000001" customHeight="1" x14ac:dyDescent="0.2"/>
    <row r="36" spans="2:8" ht="17.100000000000001" customHeight="1" x14ac:dyDescent="0.2"/>
    <row r="37" spans="2:8" ht="24.75" customHeight="1" x14ac:dyDescent="0.2">
      <c r="B37" s="828" t="s">
        <v>1205</v>
      </c>
      <c r="C37" s="828"/>
      <c r="D37" s="828"/>
      <c r="E37" s="828"/>
      <c r="F37" s="828"/>
      <c r="G37" s="828"/>
      <c r="H37" s="828"/>
    </row>
    <row r="38" spans="2:8" ht="17.100000000000001" customHeight="1" x14ac:dyDescent="0.2"/>
    <row r="52" spans="2:8" x14ac:dyDescent="0.2">
      <c r="B52" s="828" t="s">
        <v>1206</v>
      </c>
      <c r="C52" s="828"/>
      <c r="D52" s="828"/>
      <c r="E52" s="828"/>
      <c r="F52" s="828"/>
      <c r="G52" s="828"/>
      <c r="H52" s="828"/>
    </row>
  </sheetData>
  <mergeCells count="4">
    <mergeCell ref="B4:H4"/>
    <mergeCell ref="B19:H19"/>
    <mergeCell ref="B37:H37"/>
    <mergeCell ref="B52:H5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R60"/>
  <sheetViews>
    <sheetView showGridLines="0" topLeftCell="A44" zoomScaleNormal="100" workbookViewId="0">
      <selection activeCell="J65" sqref="J65"/>
    </sheetView>
  </sheetViews>
  <sheetFormatPr defaultColWidth="9.140625" defaultRowHeight="12.75" x14ac:dyDescent="0.2"/>
  <cols>
    <col min="1" max="1" width="10" style="6" customWidth="1"/>
    <col min="2" max="3" width="10" style="192" customWidth="1"/>
    <col min="4" max="9" width="10" style="6" customWidth="1"/>
    <col min="10" max="11" width="53.28515625" style="6" customWidth="1"/>
    <col min="12" max="14" width="10" style="6" customWidth="1"/>
    <col min="15" max="17" width="9.28515625" style="6" bestFit="1" customWidth="1"/>
    <col min="18" max="18" width="9.7109375" style="6" bestFit="1" customWidth="1"/>
    <col min="19" max="16384" width="9.140625" style="6"/>
  </cols>
  <sheetData>
    <row r="2" spans="2:18" x14ac:dyDescent="0.2">
      <c r="B2" s="6"/>
    </row>
    <row r="3" spans="2:18" ht="16.5" customHeight="1" thickBot="1" x14ac:dyDescent="0.25">
      <c r="B3" s="6"/>
      <c r="G3" s="193"/>
      <c r="H3" s="136"/>
      <c r="J3" s="673" t="s">
        <v>1238</v>
      </c>
      <c r="K3" s="673"/>
      <c r="L3" s="57"/>
      <c r="M3" s="57"/>
      <c r="N3" s="57"/>
      <c r="O3" s="57"/>
      <c r="P3" s="57"/>
      <c r="Q3" s="57"/>
      <c r="R3" s="57"/>
    </row>
    <row r="4" spans="2:18" ht="16.5" customHeight="1" thickBot="1" x14ac:dyDescent="0.25">
      <c r="G4" s="194"/>
      <c r="H4" s="136"/>
      <c r="J4" s="671"/>
      <c r="K4" s="671"/>
      <c r="L4" s="672"/>
      <c r="M4" s="412" t="s">
        <v>289</v>
      </c>
      <c r="N4" s="412" t="s">
        <v>599</v>
      </c>
      <c r="O4" s="412" t="s">
        <v>637</v>
      </c>
      <c r="P4" s="412" t="s">
        <v>633</v>
      </c>
      <c r="Q4" s="412" t="s">
        <v>634</v>
      </c>
      <c r="R4" s="412" t="s">
        <v>635</v>
      </c>
    </row>
    <row r="5" spans="2:18" ht="16.5" customHeight="1" x14ac:dyDescent="0.2">
      <c r="B5" s="127" t="s">
        <v>809</v>
      </c>
      <c r="G5" s="136"/>
      <c r="H5" s="136"/>
      <c r="I5" s="42"/>
      <c r="J5" s="32" t="s">
        <v>32</v>
      </c>
      <c r="K5" s="734" t="s">
        <v>994</v>
      </c>
      <c r="L5" s="25" t="s">
        <v>1</v>
      </c>
      <c r="M5" s="557">
        <v>33684.61</v>
      </c>
      <c r="N5" s="557">
        <v>34103.112000000001</v>
      </c>
      <c r="O5" s="557">
        <v>35931.017</v>
      </c>
      <c r="P5" s="557">
        <v>37258.224999999999</v>
      </c>
      <c r="Q5" s="557">
        <v>39744.764999999999</v>
      </c>
      <c r="R5" s="557">
        <v>40858.274000000005</v>
      </c>
    </row>
    <row r="6" spans="2:18" ht="16.5" customHeight="1" thickBot="1" x14ac:dyDescent="0.25">
      <c r="G6" s="42"/>
      <c r="H6" s="136"/>
      <c r="I6" s="42"/>
      <c r="J6" s="659" t="s">
        <v>340</v>
      </c>
      <c r="K6" s="659" t="s">
        <v>1210</v>
      </c>
      <c r="L6" s="417" t="s">
        <v>1</v>
      </c>
      <c r="M6" s="558">
        <v>31519.59548334279</v>
      </c>
      <c r="N6" s="558">
        <v>32280.203708629906</v>
      </c>
      <c r="O6" s="558">
        <v>34091.737086219095</v>
      </c>
      <c r="P6" s="558">
        <v>35814.417125910135</v>
      </c>
      <c r="Q6" s="558">
        <v>37427.719825690452</v>
      </c>
      <c r="R6" s="558">
        <v>38275.292075690457</v>
      </c>
    </row>
    <row r="7" spans="2:18" ht="16.5" customHeight="1" x14ac:dyDescent="0.2">
      <c r="G7" s="42"/>
      <c r="H7" s="136"/>
      <c r="I7" s="42"/>
      <c r="J7" s="6" t="s">
        <v>341</v>
      </c>
      <c r="K7" s="693" t="s">
        <v>1372</v>
      </c>
      <c r="L7" s="41" t="s">
        <v>1</v>
      </c>
      <c r="M7" s="670">
        <v>58.528268918238403</v>
      </c>
      <c r="N7" s="670">
        <v>325.81660106015005</v>
      </c>
      <c r="O7" s="670">
        <v>-51.786864128326826</v>
      </c>
      <c r="P7" s="670">
        <v>288.97254714344865</v>
      </c>
      <c r="Q7" s="670">
        <v>26.797854014517767</v>
      </c>
      <c r="R7" s="670">
        <v>-189.60393003640209</v>
      </c>
    </row>
    <row r="8" spans="2:18" ht="16.5" customHeight="1" x14ac:dyDescent="0.2">
      <c r="G8" s="42"/>
      <c r="H8" s="136"/>
      <c r="I8" s="42"/>
      <c r="J8" s="6" t="s">
        <v>342</v>
      </c>
      <c r="K8" s="693" t="s">
        <v>1211</v>
      </c>
      <c r="L8" s="195" t="s">
        <v>10</v>
      </c>
      <c r="M8" s="669">
        <v>1.7791936835603417</v>
      </c>
      <c r="N8" s="669">
        <v>1.3794327546390672</v>
      </c>
      <c r="O8" s="669">
        <v>5.1930286960034326</v>
      </c>
      <c r="P8" s="669">
        <v>4.2054398369953976</v>
      </c>
      <c r="Q8" s="669">
        <v>4.4297938458365529</v>
      </c>
      <c r="R8" s="669">
        <v>2.7711444481971546</v>
      </c>
    </row>
    <row r="9" spans="2:18" ht="16.5" customHeight="1" thickBot="1" x14ac:dyDescent="0.25">
      <c r="G9" s="42"/>
      <c r="H9" s="136"/>
      <c r="I9" s="42"/>
      <c r="J9" s="128" t="s">
        <v>343</v>
      </c>
      <c r="K9" s="128" t="s">
        <v>1212</v>
      </c>
      <c r="L9" s="679" t="s">
        <v>10</v>
      </c>
      <c r="M9" s="680">
        <v>0.61001025816604937</v>
      </c>
      <c r="N9" s="668">
        <v>0.21572871131285698</v>
      </c>
      <c r="O9" s="559" t="s">
        <v>908</v>
      </c>
      <c r="P9" s="668">
        <v>2.2874245593034193</v>
      </c>
      <c r="Q9" s="668">
        <v>1.8945414342010691</v>
      </c>
      <c r="R9" s="668">
        <v>0.27605811923441248</v>
      </c>
    </row>
    <row r="10" spans="2:18" ht="30" customHeight="1" x14ac:dyDescent="0.2">
      <c r="G10" s="5"/>
      <c r="H10" s="136"/>
      <c r="I10" s="5"/>
      <c r="J10" s="676" t="s">
        <v>344</v>
      </c>
      <c r="K10" s="676" t="s">
        <v>1213</v>
      </c>
      <c r="L10" s="677" t="s">
        <v>11</v>
      </c>
      <c r="M10" s="678">
        <v>2.0834922277143519</v>
      </c>
      <c r="N10" s="560">
        <v>1.3480051001340336</v>
      </c>
      <c r="O10" s="560">
        <v>1.3398076150772882</v>
      </c>
      <c r="P10" s="560">
        <v>2.2601080060476564</v>
      </c>
      <c r="Q10" s="560">
        <v>2.9907486484827657</v>
      </c>
      <c r="R10" s="560">
        <v>3.1974580377560886</v>
      </c>
    </row>
    <row r="11" spans="2:18" ht="16.5" customHeight="1" thickBot="1" x14ac:dyDescent="0.25">
      <c r="G11" s="5"/>
      <c r="H11" s="136"/>
      <c r="I11" s="5"/>
      <c r="J11" s="359" t="s">
        <v>345</v>
      </c>
      <c r="K11" s="359" t="s">
        <v>1214</v>
      </c>
      <c r="L11" s="417" t="s">
        <v>11</v>
      </c>
      <c r="M11" s="561">
        <v>1.4734819695483026</v>
      </c>
      <c r="N11" s="561">
        <v>1.1322763888211766</v>
      </c>
      <c r="O11" s="561">
        <v>-2.2897983524004122</v>
      </c>
      <c r="P11" s="561">
        <v>-2.7316553255762877E-2</v>
      </c>
      <c r="Q11" s="561">
        <v>1.0962072142816965</v>
      </c>
      <c r="R11" s="561">
        <v>2.9213999185216761</v>
      </c>
    </row>
    <row r="12" spans="2:18" ht="16.5" customHeight="1" x14ac:dyDescent="0.2">
      <c r="G12" s="196"/>
      <c r="H12" s="136"/>
      <c r="I12" s="196"/>
      <c r="J12" s="215" t="s">
        <v>641</v>
      </c>
      <c r="K12" s="215" t="s">
        <v>1373</v>
      </c>
      <c r="L12" s="195" t="s">
        <v>0</v>
      </c>
      <c r="M12" s="681">
        <v>0.29906482172594501</v>
      </c>
      <c r="N12" s="656">
        <v>-1.8046938224697565E-2</v>
      </c>
      <c r="O12" s="657">
        <v>-0.81708090381278409</v>
      </c>
      <c r="P12" s="656">
        <v>-9.623589067675041E-3</v>
      </c>
      <c r="Q12" s="658">
        <v>0.38046700370382519</v>
      </c>
      <c r="R12" s="658">
        <v>1.0006278475991861</v>
      </c>
    </row>
    <row r="13" spans="2:18" ht="16.5" customHeight="1" thickBot="1" x14ac:dyDescent="0.25">
      <c r="G13" s="42"/>
      <c r="H13" s="136"/>
      <c r="I13" s="5"/>
      <c r="J13" s="659" t="s">
        <v>642</v>
      </c>
      <c r="K13" s="659" t="s">
        <v>1374</v>
      </c>
      <c r="L13" s="417" t="s">
        <v>0</v>
      </c>
      <c r="M13" s="654">
        <v>-0.30810687755435062</v>
      </c>
      <c r="N13" s="562">
        <v>0.14050894175062373</v>
      </c>
      <c r="O13" s="654">
        <v>-0.41756392101874085</v>
      </c>
      <c r="P13" s="654">
        <v>-0.41335224644022955</v>
      </c>
      <c r="Q13" s="562">
        <v>0.18542170731807509</v>
      </c>
      <c r="R13" s="562">
        <v>0.69054742565150562</v>
      </c>
    </row>
    <row r="14" spans="2:18" ht="24" customHeight="1" x14ac:dyDescent="0.2">
      <c r="G14" s="197"/>
      <c r="H14" s="136"/>
      <c r="I14" s="42"/>
      <c r="J14" s="563" t="s">
        <v>909</v>
      </c>
      <c r="K14" s="563"/>
      <c r="L14" s="41"/>
      <c r="M14" s="564"/>
      <c r="N14" s="565"/>
      <c r="O14" s="566"/>
      <c r="P14" s="566"/>
      <c r="Q14" s="565"/>
      <c r="R14" s="565"/>
    </row>
    <row r="15" spans="2:18" ht="16.5" customHeight="1" x14ac:dyDescent="0.2">
      <c r="G15" s="48"/>
      <c r="H15" s="136"/>
      <c r="I15" s="48"/>
      <c r="J15" s="555" t="s">
        <v>640</v>
      </c>
      <c r="K15" s="555"/>
      <c r="L15" s="41"/>
      <c r="M15" s="564"/>
      <c r="N15" s="565"/>
      <c r="O15" s="566"/>
      <c r="P15" s="566"/>
      <c r="Q15" s="565"/>
      <c r="R15" s="565"/>
    </row>
    <row r="16" spans="2:18" ht="16.5" customHeight="1" x14ac:dyDescent="0.2">
      <c r="G16" s="48"/>
      <c r="H16" s="136"/>
      <c r="I16" s="48"/>
      <c r="J16" s="554" t="s">
        <v>825</v>
      </c>
      <c r="K16" s="554"/>
      <c r="L16" s="41"/>
      <c r="M16" s="564"/>
      <c r="N16" s="565"/>
      <c r="O16" s="566"/>
      <c r="P16" s="566"/>
      <c r="Q16" s="565"/>
      <c r="R16" s="565"/>
    </row>
    <row r="17" spans="2:18" ht="16.5" customHeight="1" x14ac:dyDescent="0.2">
      <c r="G17" s="48"/>
      <c r="H17" s="136"/>
      <c r="I17" s="48"/>
    </row>
    <row r="18" spans="2:18" ht="16.5" customHeight="1" thickBot="1" x14ac:dyDescent="0.25">
      <c r="G18" s="198"/>
      <c r="H18" s="136"/>
      <c r="I18" s="198"/>
      <c r="J18" s="673" t="s">
        <v>1239</v>
      </c>
      <c r="K18" s="673"/>
      <c r="L18" s="57"/>
      <c r="M18" s="57"/>
      <c r="N18" s="57"/>
      <c r="O18" s="57"/>
      <c r="P18" s="57"/>
      <c r="Q18" s="57"/>
      <c r="R18" s="136"/>
    </row>
    <row r="19" spans="2:18" ht="16.5" customHeight="1" thickBot="1" x14ac:dyDescent="0.25">
      <c r="G19" s="199"/>
      <c r="H19" s="136"/>
      <c r="I19" s="200"/>
      <c r="J19" s="674"/>
      <c r="K19" s="674"/>
      <c r="L19" s="675"/>
      <c r="M19" s="525" t="s">
        <v>289</v>
      </c>
      <c r="N19" s="525" t="s">
        <v>599</v>
      </c>
      <c r="O19" s="525" t="s">
        <v>637</v>
      </c>
      <c r="P19" s="525" t="s">
        <v>633</v>
      </c>
      <c r="Q19" s="525" t="s">
        <v>634</v>
      </c>
      <c r="R19" s="525" t="s">
        <v>635</v>
      </c>
    </row>
    <row r="20" spans="2:18" x14ac:dyDescent="0.2">
      <c r="G20" s="201"/>
      <c r="H20" s="136"/>
      <c r="J20" s="24" t="s">
        <v>159</v>
      </c>
      <c r="K20" s="24" t="s">
        <v>1209</v>
      </c>
      <c r="L20" s="25" t="s">
        <v>1</v>
      </c>
      <c r="M20" s="26">
        <v>33684.61</v>
      </c>
      <c r="N20" s="26">
        <v>34103.112000000001</v>
      </c>
      <c r="O20" s="26">
        <v>35931.017</v>
      </c>
      <c r="P20" s="26">
        <v>37258.224999999999</v>
      </c>
      <c r="Q20" s="26">
        <v>39744.764999999999</v>
      </c>
      <c r="R20" s="26">
        <v>40858.274000000005</v>
      </c>
    </row>
    <row r="21" spans="2:18" ht="16.5" customHeight="1" x14ac:dyDescent="0.2">
      <c r="G21" s="54"/>
      <c r="H21" s="136"/>
      <c r="I21" s="54"/>
      <c r="J21" s="27" t="s">
        <v>115</v>
      </c>
      <c r="K21" s="736" t="s">
        <v>1217</v>
      </c>
      <c r="L21" s="25" t="s">
        <v>1</v>
      </c>
      <c r="M21" s="28">
        <v>1335.808</v>
      </c>
      <c r="N21" s="28">
        <v>1186.126</v>
      </c>
      <c r="O21" s="28">
        <v>1129.2159999999999</v>
      </c>
      <c r="P21" s="28">
        <v>1124.79</v>
      </c>
      <c r="Q21" s="28">
        <v>1094.864</v>
      </c>
      <c r="R21" s="28">
        <v>1111.7349999999999</v>
      </c>
    </row>
    <row r="22" spans="2:18" ht="16.5" customHeight="1" x14ac:dyDescent="0.2">
      <c r="B22" s="202" t="s">
        <v>810</v>
      </c>
      <c r="J22" s="27" t="s">
        <v>114</v>
      </c>
      <c r="K22" s="736" t="s">
        <v>1218</v>
      </c>
      <c r="L22" s="25" t="s">
        <v>1</v>
      </c>
      <c r="M22" s="28">
        <v>506.88200000000001</v>
      </c>
      <c r="N22" s="28">
        <v>440.24799999999999</v>
      </c>
      <c r="O22" s="28">
        <v>476.06899999999996</v>
      </c>
      <c r="P22" s="28">
        <v>22.657</v>
      </c>
      <c r="Q22" s="28">
        <v>300.18900000000002</v>
      </c>
      <c r="R22" s="28">
        <v>298.30900000000003</v>
      </c>
    </row>
    <row r="23" spans="2:18" ht="16.5" customHeight="1" x14ac:dyDescent="0.2">
      <c r="J23" s="29" t="s">
        <v>116</v>
      </c>
      <c r="K23" s="29" t="s">
        <v>1219</v>
      </c>
      <c r="L23" s="25" t="s">
        <v>1</v>
      </c>
      <c r="M23" s="28">
        <v>796.34500000000003</v>
      </c>
      <c r="N23" s="28">
        <v>631.81200000000001</v>
      </c>
      <c r="O23" s="28">
        <v>671.005</v>
      </c>
      <c r="P23" s="28">
        <v>298.27499999999998</v>
      </c>
      <c r="Q23" s="28">
        <v>1269.7180000000001</v>
      </c>
      <c r="R23" s="28">
        <v>1248.5140000000001</v>
      </c>
    </row>
    <row r="24" spans="2:18" ht="16.5" customHeight="1" x14ac:dyDescent="0.2">
      <c r="J24" s="30" t="s">
        <v>117</v>
      </c>
      <c r="K24" s="30" t="s">
        <v>1220</v>
      </c>
      <c r="L24" s="25" t="s">
        <v>1</v>
      </c>
      <c r="M24" s="28">
        <v>2092.6889999999999</v>
      </c>
      <c r="N24" s="28">
        <v>2258.7179999999998</v>
      </c>
      <c r="O24" s="28">
        <v>2378.6790000000001</v>
      </c>
      <c r="P24" s="28">
        <v>2289.0389999999998</v>
      </c>
      <c r="Q24" s="28">
        <v>2265.8020000000001</v>
      </c>
      <c r="R24" s="28">
        <v>2628.5229999999997</v>
      </c>
    </row>
    <row r="25" spans="2:18" x14ac:dyDescent="0.2">
      <c r="J25" s="30" t="s">
        <v>118</v>
      </c>
      <c r="K25" s="30" t="s">
        <v>1221</v>
      </c>
      <c r="L25" s="25" t="s">
        <v>1</v>
      </c>
      <c r="M25" s="28">
        <v>2061.7275</v>
      </c>
      <c r="N25" s="28">
        <v>2252.3869999999997</v>
      </c>
      <c r="O25" s="28">
        <v>2333.8389999999999</v>
      </c>
      <c r="P25" s="28">
        <v>2254.78125</v>
      </c>
      <c r="Q25" s="28">
        <v>2298.0594999999998</v>
      </c>
      <c r="R25" s="28">
        <v>2390.5107499999999</v>
      </c>
    </row>
    <row r="26" spans="2:18" x14ac:dyDescent="0.2">
      <c r="B26" s="829"/>
      <c r="C26" s="829"/>
      <c r="D26" s="829"/>
      <c r="E26" s="829"/>
      <c r="F26" s="829"/>
      <c r="G26" s="829"/>
      <c r="H26" s="829"/>
      <c r="J26" s="31" t="s">
        <v>119</v>
      </c>
      <c r="K26" s="31" t="s">
        <v>1222</v>
      </c>
      <c r="L26" s="25" t="s">
        <v>1</v>
      </c>
      <c r="M26" s="28">
        <v>1.9000166572105648</v>
      </c>
      <c r="N26" s="28">
        <v>-1.3607086299048492</v>
      </c>
      <c r="O26" s="28">
        <v>-5.7902376198716228</v>
      </c>
      <c r="P26" s="28">
        <v>-13.536269822823959</v>
      </c>
      <c r="Q26" s="28">
        <v>-15.303512630531026</v>
      </c>
      <c r="R26" s="28">
        <v>-15.303512630531026</v>
      </c>
    </row>
    <row r="27" spans="2:18" x14ac:dyDescent="0.2">
      <c r="J27" s="32" t="s">
        <v>120</v>
      </c>
      <c r="K27" s="734" t="s">
        <v>1223</v>
      </c>
      <c r="L27" s="25" t="s">
        <v>1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</row>
    <row r="28" spans="2:18" ht="13.5" thickBot="1" x14ac:dyDescent="0.25">
      <c r="J28" s="34" t="s">
        <v>121</v>
      </c>
      <c r="K28" s="34" t="s">
        <v>1224</v>
      </c>
      <c r="L28" s="35" t="s">
        <v>1</v>
      </c>
      <c r="M28" s="36">
        <v>31519.59548334279</v>
      </c>
      <c r="N28" s="36">
        <v>32280.203708629906</v>
      </c>
      <c r="O28" s="36">
        <v>34091.746237619875</v>
      </c>
      <c r="P28" s="36">
        <v>35814.438519822826</v>
      </c>
      <c r="Q28" s="36">
        <v>37427.74401263053</v>
      </c>
      <c r="R28" s="36">
        <v>38275.316262630535</v>
      </c>
    </row>
    <row r="29" spans="2:18" ht="14.25" thickTop="1" thickBot="1" x14ac:dyDescent="0.25">
      <c r="J29" s="37" t="s">
        <v>327</v>
      </c>
      <c r="K29" s="37" t="s">
        <v>1225</v>
      </c>
      <c r="L29" s="38" t="s">
        <v>1</v>
      </c>
      <c r="M29" s="39">
        <v>675.95634819100451</v>
      </c>
      <c r="N29" s="39">
        <v>760.60822528711651</v>
      </c>
      <c r="O29" s="39">
        <v>1811.5425289899686</v>
      </c>
      <c r="P29" s="39">
        <v>1722.6922822029519</v>
      </c>
      <c r="Q29" s="39">
        <v>1613.3054928077036</v>
      </c>
      <c r="R29" s="39">
        <v>847.57225000000471</v>
      </c>
    </row>
    <row r="30" spans="2:18" ht="13.5" thickTop="1" x14ac:dyDescent="0.2">
      <c r="J30" s="40" t="s">
        <v>9</v>
      </c>
      <c r="K30" s="40" t="s">
        <v>1226</v>
      </c>
      <c r="L30" s="41" t="s">
        <v>1</v>
      </c>
      <c r="M30" s="42">
        <v>58.528268918238403</v>
      </c>
      <c r="N30" s="42">
        <v>325.81660106015005</v>
      </c>
      <c r="O30" s="42">
        <v>-51.786864128326826</v>
      </c>
      <c r="P30" s="42">
        <v>288.97254714344865</v>
      </c>
      <c r="Q30" s="42">
        <v>26.797854014517767</v>
      </c>
      <c r="R30" s="42">
        <v>-189.60393003640209</v>
      </c>
    </row>
    <row r="31" spans="2:18" x14ac:dyDescent="0.2">
      <c r="J31" s="40" t="s">
        <v>328</v>
      </c>
      <c r="K31" s="40" t="s">
        <v>1227</v>
      </c>
      <c r="L31" s="41" t="s">
        <v>1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</row>
    <row r="32" spans="2:18" x14ac:dyDescent="0.2">
      <c r="J32" s="40" t="s">
        <v>329</v>
      </c>
      <c r="K32" s="40" t="s">
        <v>1229</v>
      </c>
      <c r="L32" s="41" t="s">
        <v>1</v>
      </c>
      <c r="M32" s="42">
        <v>-35.159999999999997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</row>
    <row r="33" spans="2:18" ht="13.5" thickBot="1" x14ac:dyDescent="0.25">
      <c r="J33" s="43" t="s">
        <v>330</v>
      </c>
      <c r="K33" s="43" t="s">
        <v>1228</v>
      </c>
      <c r="L33" s="35" t="s">
        <v>1</v>
      </c>
      <c r="M33" s="42">
        <v>-33.5</v>
      </c>
      <c r="N33" s="42">
        <v>0</v>
      </c>
      <c r="O33" s="42">
        <v>-187</v>
      </c>
      <c r="P33" s="42">
        <v>0</v>
      </c>
      <c r="Q33" s="42">
        <v>0</v>
      </c>
      <c r="R33" s="42">
        <v>0</v>
      </c>
    </row>
    <row r="34" spans="2:18" ht="26.25" thickTop="1" x14ac:dyDescent="0.2">
      <c r="J34" s="44" t="s">
        <v>331</v>
      </c>
      <c r="K34" s="750" t="s">
        <v>1230</v>
      </c>
      <c r="L34" s="45" t="s">
        <v>10</v>
      </c>
      <c r="M34" s="46">
        <v>1.7791936835603417</v>
      </c>
      <c r="N34" s="46">
        <v>1.3794327546390672</v>
      </c>
      <c r="O34" s="46">
        <v>5.1930570458889003</v>
      </c>
      <c r="P34" s="46">
        <v>4.2054746185967122</v>
      </c>
      <c r="Q34" s="46">
        <v>4.4297989982868904</v>
      </c>
      <c r="R34" s="46">
        <v>2.7711426573998068</v>
      </c>
    </row>
    <row r="35" spans="2:18" x14ac:dyDescent="0.2">
      <c r="J35" s="751" t="s">
        <v>332</v>
      </c>
      <c r="K35" s="751" t="s">
        <v>1231</v>
      </c>
      <c r="L35" s="47" t="s">
        <v>10</v>
      </c>
      <c r="M35" s="48">
        <v>0.61001025816604937</v>
      </c>
      <c r="N35" s="48">
        <v>0.21572871131285698</v>
      </c>
      <c r="O35" s="48">
        <v>3.6296338960153385</v>
      </c>
      <c r="P35" s="48">
        <v>2.2874587007112535</v>
      </c>
      <c r="Q35" s="48">
        <v>1.8945464615648611</v>
      </c>
      <c r="R35" s="48">
        <v>0.27605637191421284</v>
      </c>
    </row>
    <row r="36" spans="2:18" x14ac:dyDescent="0.2">
      <c r="J36" s="49" t="s">
        <v>333</v>
      </c>
      <c r="K36" s="49" t="s">
        <v>1232</v>
      </c>
      <c r="L36" s="50" t="s">
        <v>11</v>
      </c>
      <c r="M36" s="51">
        <v>2.0834922277143519</v>
      </c>
      <c r="N36" s="51">
        <v>1.3480051001340336</v>
      </c>
      <c r="O36" s="51">
        <v>1.3398076150772882</v>
      </c>
      <c r="P36" s="51">
        <v>2.2601080060476564</v>
      </c>
      <c r="Q36" s="51">
        <v>2.9907486484827657</v>
      </c>
      <c r="R36" s="51">
        <v>3.1974580377560886</v>
      </c>
    </row>
    <row r="37" spans="2:18" ht="13.5" thickBot="1" x14ac:dyDescent="0.25">
      <c r="J37" s="359" t="s">
        <v>334</v>
      </c>
      <c r="K37" s="359" t="s">
        <v>1233</v>
      </c>
      <c r="L37" s="417" t="s">
        <v>11</v>
      </c>
      <c r="M37" s="660">
        <v>1.4734819695483026</v>
      </c>
      <c r="N37" s="660">
        <v>1.1322763888211766</v>
      </c>
      <c r="O37" s="660">
        <v>-2.2898262809380503</v>
      </c>
      <c r="P37" s="660">
        <v>-2.7350694663597075E-2</v>
      </c>
      <c r="Q37" s="660">
        <v>1.0962021869179046</v>
      </c>
      <c r="R37" s="660">
        <v>2.9214016658418758</v>
      </c>
    </row>
    <row r="38" spans="2:18" x14ac:dyDescent="0.2">
      <c r="J38" s="215" t="s">
        <v>335</v>
      </c>
      <c r="K38" s="215" t="s">
        <v>1215</v>
      </c>
      <c r="L38" s="195" t="s">
        <v>0</v>
      </c>
      <c r="M38" s="661">
        <v>0.29906482172594501</v>
      </c>
      <c r="N38" s="661">
        <v>-1.8046938224697565E-2</v>
      </c>
      <c r="O38" s="662">
        <v>-0.81836435304433341</v>
      </c>
      <c r="P38" s="661">
        <v>-9.6267885489944617E-3</v>
      </c>
      <c r="Q38" s="662">
        <v>0.38107079719355536</v>
      </c>
      <c r="R38" s="662">
        <v>1.0022105854656489</v>
      </c>
    </row>
    <row r="39" spans="2:18" ht="13.5" thickBot="1" x14ac:dyDescent="0.25">
      <c r="J39" s="659" t="s">
        <v>336</v>
      </c>
      <c r="K39" s="659" t="s">
        <v>1216</v>
      </c>
      <c r="L39" s="417" t="s">
        <v>0</v>
      </c>
      <c r="M39" s="663">
        <v>-0.30810687755435062</v>
      </c>
      <c r="N39" s="664">
        <v>0.14050894175062373</v>
      </c>
      <c r="O39" s="655">
        <v>-0.41820564563451551</v>
      </c>
      <c r="P39" s="655">
        <v>-0.41399557079666394</v>
      </c>
      <c r="Q39" s="664">
        <v>0.18572200432228045</v>
      </c>
      <c r="R39" s="664">
        <v>0.69164069132960215</v>
      </c>
    </row>
    <row r="40" spans="2:18" x14ac:dyDescent="0.2">
      <c r="J40" s="52" t="s">
        <v>160</v>
      </c>
      <c r="K40" s="52" t="s">
        <v>1234</v>
      </c>
      <c r="L40" s="53" t="s">
        <v>10</v>
      </c>
      <c r="M40" s="54">
        <v>1.162094529554436</v>
      </c>
      <c r="N40" s="54">
        <v>1.1611990036798137</v>
      </c>
      <c r="O40" s="54">
        <v>1.508664164</v>
      </c>
      <c r="P40" s="54">
        <v>1.875123248</v>
      </c>
      <c r="Q40" s="54">
        <v>2.4881140598415952</v>
      </c>
      <c r="R40" s="54">
        <v>2.4882174027980986</v>
      </c>
    </row>
    <row r="41" spans="2:18" x14ac:dyDescent="0.2">
      <c r="J41" s="6" t="s">
        <v>183</v>
      </c>
      <c r="K41" s="6" t="s">
        <v>1235</v>
      </c>
      <c r="M41" s="55">
        <v>-0.5</v>
      </c>
      <c r="N41" s="55">
        <v>-0.5</v>
      </c>
      <c r="O41" s="55">
        <v>-0.5</v>
      </c>
      <c r="P41" s="55">
        <v>-0.5</v>
      </c>
      <c r="Q41" s="55">
        <v>-0.5</v>
      </c>
      <c r="R41" s="55">
        <v>-0.5</v>
      </c>
    </row>
    <row r="42" spans="2:18" x14ac:dyDescent="0.2">
      <c r="J42" s="6" t="s">
        <v>182</v>
      </c>
      <c r="K42" s="6" t="s">
        <v>1236</v>
      </c>
      <c r="M42" s="307">
        <v>-0.25</v>
      </c>
      <c r="N42" s="55">
        <v>-0.25</v>
      </c>
      <c r="O42" s="6">
        <v>-0.25</v>
      </c>
      <c r="P42" s="6">
        <v>-0.25</v>
      </c>
      <c r="Q42" s="6">
        <v>-0.25</v>
      </c>
      <c r="R42" s="6">
        <v>-0.25</v>
      </c>
    </row>
    <row r="43" spans="2:18" x14ac:dyDescent="0.2">
      <c r="J43" s="16" t="s">
        <v>203</v>
      </c>
      <c r="K43" s="16" t="s">
        <v>1237</v>
      </c>
      <c r="L43" s="16"/>
      <c r="M43" s="203">
        <v>81226.073000000004</v>
      </c>
      <c r="N43" s="203">
        <v>84850.873999999996</v>
      </c>
      <c r="O43" s="203">
        <v>90320.597411415132</v>
      </c>
      <c r="P43" s="203">
        <v>96737.218954959098</v>
      </c>
      <c r="Q43" s="203">
        <v>103025.53414707213</v>
      </c>
      <c r="R43" s="203">
        <v>109100.16241588771</v>
      </c>
    </row>
    <row r="44" spans="2:18" ht="16.5" x14ac:dyDescent="0.3">
      <c r="B44" s="752" t="s">
        <v>1244</v>
      </c>
      <c r="R44" s="204" t="s">
        <v>3</v>
      </c>
    </row>
    <row r="47" spans="2:18" x14ac:dyDescent="0.2">
      <c r="J47" s="9"/>
      <c r="K47" s="9"/>
      <c r="L47" s="23">
        <v>2015</v>
      </c>
      <c r="M47" s="23">
        <v>2016</v>
      </c>
      <c r="N47" s="23">
        <v>2017</v>
      </c>
      <c r="O47" s="23">
        <v>2018</v>
      </c>
      <c r="P47" s="23">
        <v>2019</v>
      </c>
      <c r="Q47" s="23">
        <v>2020</v>
      </c>
      <c r="R47" s="23">
        <v>2021</v>
      </c>
    </row>
    <row r="48" spans="2:18" x14ac:dyDescent="0.2">
      <c r="J48" s="52" t="s">
        <v>337</v>
      </c>
      <c r="K48" s="52" t="s">
        <v>1240</v>
      </c>
      <c r="L48" s="54">
        <v>2.9279065204139698</v>
      </c>
      <c r="M48" s="54">
        <v>2.7952861707213543</v>
      </c>
      <c r="N48" s="54">
        <v>2.6049092470555451</v>
      </c>
      <c r="O48" s="54">
        <v>2.5851214899376629</v>
      </c>
      <c r="P48" s="54">
        <v>2.8951680495910921</v>
      </c>
      <c r="Q48" s="54">
        <v>3.1738527703586437</v>
      </c>
      <c r="R48" s="7">
        <v>3.1974580377560886</v>
      </c>
    </row>
    <row r="49" spans="2:18" x14ac:dyDescent="0.2">
      <c r="J49" s="6" t="s">
        <v>338</v>
      </c>
      <c r="K49" s="693" t="s">
        <v>1241</v>
      </c>
      <c r="L49" s="56">
        <v>6.4201509481086383</v>
      </c>
      <c r="M49" s="56">
        <v>3.5750723372377169</v>
      </c>
      <c r="N49" s="56">
        <v>5.1479863841398465</v>
      </c>
      <c r="O49" s="56">
        <v>5.8740525600777591</v>
      </c>
      <c r="P49" s="56">
        <v>2.9922930736531628</v>
      </c>
      <c r="Q49" s="56">
        <v>3.1874380271625702</v>
      </c>
      <c r="R49" s="7">
        <v>2.5041296401639768</v>
      </c>
    </row>
    <row r="50" spans="2:18" x14ac:dyDescent="0.2">
      <c r="J50" s="6" t="s">
        <v>131</v>
      </c>
      <c r="K50" s="693" t="s">
        <v>1242</v>
      </c>
      <c r="L50" s="7">
        <v>0.70238445629776658</v>
      </c>
      <c r="M50" s="56">
        <v>1.162094529554436</v>
      </c>
      <c r="N50" s="7">
        <v>1.1611990036798137</v>
      </c>
      <c r="O50" s="7">
        <v>1.508664164</v>
      </c>
      <c r="P50" s="7">
        <v>1.875123248</v>
      </c>
      <c r="Q50" s="7">
        <v>2.4881140598415952</v>
      </c>
      <c r="R50" s="7">
        <v>2.4882174027980986</v>
      </c>
    </row>
    <row r="51" spans="2:18" x14ac:dyDescent="0.2">
      <c r="J51" s="16" t="s">
        <v>339</v>
      </c>
      <c r="K51" s="745" t="s">
        <v>1243</v>
      </c>
      <c r="L51" s="205">
        <v>207.98088057364981</v>
      </c>
      <c r="M51" s="205">
        <v>58.528268918238403</v>
      </c>
      <c r="N51" s="205">
        <v>325.81660106015005</v>
      </c>
      <c r="O51" s="205">
        <v>-51.786864128326826</v>
      </c>
      <c r="P51" s="205">
        <v>288.97254714344865</v>
      </c>
      <c r="Q51" s="205">
        <v>26.797854014517767</v>
      </c>
      <c r="R51" s="205">
        <v>-189.60393003640209</v>
      </c>
    </row>
    <row r="60" spans="2:18" x14ac:dyDescent="0.2">
      <c r="B60" s="202" t="s">
        <v>1245</v>
      </c>
    </row>
  </sheetData>
  <mergeCells count="1">
    <mergeCell ref="B26:H26"/>
  </mergeCells>
  <conditionalFormatting sqref="I19 G19">
    <cfRule type="cellIs" dxfId="17" priority="46" operator="between">
      <formula>-0.0000001</formula>
      <formula>-0.5</formula>
    </cfRule>
    <cfRule type="cellIs" dxfId="16" priority="47" operator="lessThan">
      <formula>-0.5000001</formula>
    </cfRule>
    <cfRule type="cellIs" dxfId="15" priority="48" operator="greaterThan">
      <formula>0</formula>
    </cfRule>
  </conditionalFormatting>
  <conditionalFormatting sqref="N39 O38 Q38:R39">
    <cfRule type="cellIs" dxfId="14" priority="34" operator="lessThan">
      <formula>-0.501111</formula>
    </cfRule>
    <cfRule type="cellIs" dxfId="13" priority="35" operator="between">
      <formula>-0.04</formula>
      <formula>-0.5</formula>
    </cfRule>
    <cfRule type="cellIs" dxfId="12" priority="36" operator="greaterThan">
      <formula>-0.04</formula>
    </cfRule>
  </conditionalFormatting>
  <conditionalFormatting sqref="M39">
    <cfRule type="cellIs" dxfId="11" priority="10" operator="between">
      <formula>-0.00001</formula>
      <formula>-0.25</formula>
    </cfRule>
    <cfRule type="cellIs" dxfId="10" priority="11" operator="lessThan">
      <formula>-0.25000001</formula>
    </cfRule>
    <cfRule type="cellIs" dxfId="9" priority="12" operator="greaterThanOrEqual">
      <formula>-0.00000001</formula>
    </cfRule>
  </conditionalFormatting>
  <conditionalFormatting sqref="M38">
    <cfRule type="cellIs" dxfId="8" priority="13" operator="between">
      <formula>-0.0000001</formula>
      <formula>-0.5</formula>
    </cfRule>
    <cfRule type="cellIs" dxfId="7" priority="14" operator="lessThan">
      <formula>-0.5000001</formula>
    </cfRule>
    <cfRule type="cellIs" dxfId="6" priority="15" operator="greaterThanOrEqual">
      <formula>-0.000001</formula>
    </cfRule>
  </conditionalFormatting>
  <conditionalFormatting sqref="N38">
    <cfRule type="cellIs" dxfId="5" priority="1" operator="between">
      <formula>-0.0000001</formula>
      <formula>-0.5</formula>
    </cfRule>
    <cfRule type="cellIs" dxfId="4" priority="2" operator="lessThan">
      <formula>-0.5000001</formula>
    </cfRule>
    <cfRule type="cellIs" dxfId="3" priority="3" operator="greaterThanOrEqual">
      <formula>-0.000001</formula>
    </cfRule>
  </conditionalFormatting>
  <conditionalFormatting sqref="P38">
    <cfRule type="cellIs" dxfId="2" priority="7" operator="between">
      <formula>-0.0000001</formula>
      <formula>-0.5</formula>
    </cfRule>
    <cfRule type="cellIs" dxfId="1" priority="8" operator="lessThan">
      <formula>-0.5000001</formula>
    </cfRule>
    <cfRule type="cellIs" dxfId="0" priority="9" operator="greaterThanOrEqual">
      <formula>-0.000001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3:AH35"/>
  <sheetViews>
    <sheetView showGridLines="0" topLeftCell="A25" workbookViewId="0">
      <selection activeCell="R6" sqref="R6"/>
    </sheetView>
  </sheetViews>
  <sheetFormatPr defaultColWidth="9.140625" defaultRowHeight="12.75" x14ac:dyDescent="0.2"/>
  <cols>
    <col min="1" max="16" width="9.140625" style="6"/>
    <col min="17" max="17" width="9.140625" style="55"/>
    <col min="18" max="18" width="31.7109375" style="55" bestFit="1" customWidth="1"/>
    <col min="19" max="34" width="9.5703125" style="6" bestFit="1" customWidth="1"/>
    <col min="35" max="16384" width="9.140625" style="6"/>
  </cols>
  <sheetData>
    <row r="3" spans="1:34" x14ac:dyDescent="0.2">
      <c r="A3" s="127" t="s">
        <v>703</v>
      </c>
      <c r="B3" s="11"/>
      <c r="C3" s="11"/>
      <c r="D3" s="11"/>
    </row>
    <row r="4" spans="1:34" ht="13.5" thickBot="1" x14ac:dyDescent="0.25">
      <c r="O4" s="57"/>
      <c r="P4" s="57"/>
      <c r="Q4" s="672"/>
      <c r="R4" s="672"/>
      <c r="S4" s="128">
        <v>2006</v>
      </c>
      <c r="T4" s="128">
        <v>2007</v>
      </c>
      <c r="U4" s="128">
        <v>2008</v>
      </c>
      <c r="V4" s="128">
        <v>2009</v>
      </c>
      <c r="W4" s="128">
        <v>2010</v>
      </c>
      <c r="X4" s="128">
        <v>2011</v>
      </c>
      <c r="Y4" s="128">
        <v>2012</v>
      </c>
      <c r="Z4" s="128">
        <v>2013</v>
      </c>
      <c r="AA4" s="128">
        <v>2014</v>
      </c>
      <c r="AB4" s="128">
        <v>2015</v>
      </c>
      <c r="AC4" s="128">
        <v>2016</v>
      </c>
      <c r="AD4" s="128">
        <v>2017</v>
      </c>
      <c r="AE4" s="128">
        <v>2018</v>
      </c>
      <c r="AF4" s="128">
        <v>2019</v>
      </c>
      <c r="AG4" s="128">
        <v>2020</v>
      </c>
      <c r="AH4" s="128">
        <v>2021</v>
      </c>
    </row>
    <row r="5" spans="1:34" x14ac:dyDescent="0.2">
      <c r="Q5" s="484" t="s">
        <v>708</v>
      </c>
      <c r="R5" s="484" t="s">
        <v>1246</v>
      </c>
      <c r="S5" s="7">
        <v>30.975055399865298</v>
      </c>
      <c r="T5" s="7">
        <v>30.100913662755197</v>
      </c>
      <c r="U5" s="7">
        <v>28.461446367145747</v>
      </c>
      <c r="V5" s="7">
        <v>36.294399990003605</v>
      </c>
      <c r="W5" s="7">
        <v>41.200669455571614</v>
      </c>
      <c r="X5" s="7">
        <v>43.675662940364127</v>
      </c>
      <c r="Y5" s="7">
        <v>52.16489057413223</v>
      </c>
      <c r="Z5" s="7">
        <v>54.739220060414539</v>
      </c>
      <c r="AA5" s="7">
        <v>53.523723760720657</v>
      </c>
      <c r="AB5" s="7">
        <v>52.180815439392759</v>
      </c>
      <c r="AC5" s="7">
        <v>51.773083994839929</v>
      </c>
      <c r="AD5" s="7">
        <v>50.947919522903206</v>
      </c>
      <c r="AE5" s="7">
        <v>48.679899311511491</v>
      </c>
      <c r="AF5" s="7">
        <v>47.261534751594937</v>
      </c>
      <c r="AG5" s="7">
        <v>45.989896407713374</v>
      </c>
      <c r="AH5" s="7">
        <v>44.81531005313775</v>
      </c>
    </row>
    <row r="6" spans="1:34" x14ac:dyDescent="0.2">
      <c r="Q6" s="485" t="s">
        <v>709</v>
      </c>
      <c r="R6" s="485" t="s">
        <v>1247</v>
      </c>
      <c r="S6" s="7">
        <v>1.1228880783872988</v>
      </c>
      <c r="T6" s="7">
        <v>1.2356534073419556</v>
      </c>
      <c r="U6" s="7">
        <v>1.2640413117809797</v>
      </c>
      <c r="V6" s="7">
        <v>2.443536785941324</v>
      </c>
      <c r="W6" s="7">
        <v>3.1337756909494754</v>
      </c>
      <c r="X6" s="7">
        <v>3.0799859629161275</v>
      </c>
      <c r="Y6" s="7">
        <v>2.7361071259376408</v>
      </c>
      <c r="Z6" s="7">
        <v>2.6391537706960908</v>
      </c>
      <c r="AA6" s="7">
        <v>1.9387276452467164</v>
      </c>
      <c r="AB6" s="7">
        <v>1.827206371352045</v>
      </c>
      <c r="AC6" s="7">
        <v>1.6654153648422716</v>
      </c>
      <c r="AD6" s="7">
        <v>1.5983624399673244</v>
      </c>
      <c r="AE6" s="7">
        <v>1.4382195614616531</v>
      </c>
      <c r="AF6" s="7">
        <v>1.241583656192577</v>
      </c>
      <c r="AG6" s="7">
        <v>1.047848486239253</v>
      </c>
      <c r="AH6" s="7">
        <v>0.8542173351194613</v>
      </c>
    </row>
    <row r="7" spans="1:34" x14ac:dyDescent="0.2">
      <c r="Q7" s="485" t="s">
        <v>710</v>
      </c>
      <c r="R7" s="485" t="s">
        <v>710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0.24440015713491706</v>
      </c>
      <c r="Y7" s="7">
        <v>2.4176107782333434</v>
      </c>
      <c r="Z7" s="7">
        <v>3.2656963023248</v>
      </c>
      <c r="AA7" s="7">
        <v>3.4909769107614874</v>
      </c>
      <c r="AB7" s="7">
        <v>3.2093711337901287</v>
      </c>
      <c r="AC7" s="7">
        <v>3.1268776154387958</v>
      </c>
      <c r="AD7" s="7">
        <v>2.9932984479770663</v>
      </c>
      <c r="AE7" s="7">
        <v>2.8120273418563322</v>
      </c>
      <c r="AF7" s="7">
        <v>2.625504352900125</v>
      </c>
      <c r="AG7" s="7">
        <v>2.4652528284020114</v>
      </c>
      <c r="AH7" s="7">
        <v>2.3279891049613246</v>
      </c>
    </row>
    <row r="8" spans="1:34" x14ac:dyDescent="0.2">
      <c r="Q8" s="485" t="s">
        <v>711</v>
      </c>
      <c r="R8" s="485" t="s">
        <v>1248</v>
      </c>
      <c r="S8" s="7">
        <v>29.852167321478003</v>
      </c>
      <c r="T8" s="7">
        <v>28.865260255413244</v>
      </c>
      <c r="U8" s="7">
        <v>27.197405055364772</v>
      </c>
      <c r="V8" s="7">
        <v>33.850863204062279</v>
      </c>
      <c r="W8" s="7">
        <v>38.066893764622137</v>
      </c>
      <c r="X8" s="7">
        <v>40.351276820313082</v>
      </c>
      <c r="Y8" s="7">
        <v>47.01117266996124</v>
      </c>
      <c r="Z8" s="7">
        <v>48.834369987393657</v>
      </c>
      <c r="AA8" s="7">
        <v>48.09401920471246</v>
      </c>
      <c r="AB8" s="7">
        <v>47.144237934250583</v>
      </c>
      <c r="AC8" s="7">
        <v>46.980791014558868</v>
      </c>
      <c r="AD8" s="7">
        <v>46.35625863495882</v>
      </c>
      <c r="AE8" s="7">
        <v>44.429652408193498</v>
      </c>
      <c r="AF8" s="7">
        <v>43.394446742502232</v>
      </c>
      <c r="AG8" s="7">
        <v>42.476795093072106</v>
      </c>
      <c r="AH8" s="7">
        <v>41.63310361305696</v>
      </c>
    </row>
    <row r="9" spans="1:34" x14ac:dyDescent="0.2">
      <c r="Q9" s="485" t="s">
        <v>704</v>
      </c>
      <c r="R9" s="485" t="s">
        <v>1249</v>
      </c>
      <c r="Y9" s="7">
        <v>60</v>
      </c>
      <c r="Z9" s="7">
        <v>60</v>
      </c>
      <c r="AA9" s="7">
        <v>60</v>
      </c>
      <c r="AB9" s="7">
        <v>60</v>
      </c>
      <c r="AC9" s="7">
        <v>60</v>
      </c>
      <c r="AD9" s="7">
        <v>60</v>
      </c>
      <c r="AE9" s="7">
        <f>AD9-1</f>
        <v>59</v>
      </c>
      <c r="AF9" s="7">
        <f t="shared" ref="AF9:AH9" si="0">AE9-1</f>
        <v>58</v>
      </c>
      <c r="AG9" s="7">
        <f t="shared" si="0"/>
        <v>57</v>
      </c>
      <c r="AH9" s="7">
        <f t="shared" si="0"/>
        <v>56</v>
      </c>
    </row>
    <row r="10" spans="1:34" x14ac:dyDescent="0.2">
      <c r="Q10" s="485" t="s">
        <v>705</v>
      </c>
      <c r="R10" s="485" t="s">
        <v>1250</v>
      </c>
      <c r="Y10" s="7">
        <v>57</v>
      </c>
      <c r="Z10" s="7">
        <f>Y10</f>
        <v>57</v>
      </c>
      <c r="AA10" s="7">
        <f t="shared" ref="AA10:AD10" si="1">Z10</f>
        <v>57</v>
      </c>
      <c r="AB10" s="7">
        <f t="shared" si="1"/>
        <v>57</v>
      </c>
      <c r="AC10" s="7">
        <f t="shared" si="1"/>
        <v>57</v>
      </c>
      <c r="AD10" s="7">
        <f t="shared" si="1"/>
        <v>57</v>
      </c>
      <c r="AE10" s="7">
        <f t="shared" ref="AE10:AH12" si="2">AD10-1</f>
        <v>56</v>
      </c>
      <c r="AF10" s="7">
        <f t="shared" si="2"/>
        <v>55</v>
      </c>
      <c r="AG10" s="7">
        <f t="shared" si="2"/>
        <v>54</v>
      </c>
      <c r="AH10" s="7">
        <f t="shared" si="2"/>
        <v>53</v>
      </c>
    </row>
    <row r="11" spans="1:34" x14ac:dyDescent="0.2">
      <c r="Q11" s="485" t="s">
        <v>706</v>
      </c>
      <c r="R11" s="485" t="s">
        <v>1251</v>
      </c>
      <c r="Y11" s="7">
        <v>55</v>
      </c>
      <c r="Z11" s="7">
        <f t="shared" ref="Z11:AD12" si="3">Y11</f>
        <v>55</v>
      </c>
      <c r="AA11" s="7">
        <f t="shared" si="3"/>
        <v>55</v>
      </c>
      <c r="AB11" s="7">
        <f t="shared" si="3"/>
        <v>55</v>
      </c>
      <c r="AC11" s="7">
        <f t="shared" si="3"/>
        <v>55</v>
      </c>
      <c r="AD11" s="7">
        <f t="shared" si="3"/>
        <v>55</v>
      </c>
      <c r="AE11" s="7">
        <f t="shared" si="2"/>
        <v>54</v>
      </c>
      <c r="AF11" s="7">
        <f t="shared" si="2"/>
        <v>53</v>
      </c>
      <c r="AG11" s="7">
        <f t="shared" si="2"/>
        <v>52</v>
      </c>
      <c r="AH11" s="7">
        <f t="shared" si="2"/>
        <v>51</v>
      </c>
    </row>
    <row r="12" spans="1:34" x14ac:dyDescent="0.2">
      <c r="Q12" s="485" t="s">
        <v>707</v>
      </c>
      <c r="R12" s="485" t="s">
        <v>1252</v>
      </c>
      <c r="Y12" s="7">
        <v>50</v>
      </c>
      <c r="Z12" s="7">
        <f t="shared" si="3"/>
        <v>50</v>
      </c>
      <c r="AA12" s="7">
        <f t="shared" si="3"/>
        <v>50</v>
      </c>
      <c r="AB12" s="7">
        <f t="shared" si="3"/>
        <v>50</v>
      </c>
      <c r="AC12" s="7">
        <f t="shared" si="3"/>
        <v>50</v>
      </c>
      <c r="AD12" s="7">
        <f t="shared" si="3"/>
        <v>50</v>
      </c>
      <c r="AE12" s="7">
        <f t="shared" si="2"/>
        <v>49</v>
      </c>
      <c r="AF12" s="7">
        <f t="shared" si="2"/>
        <v>48</v>
      </c>
      <c r="AG12" s="7">
        <f t="shared" si="2"/>
        <v>47</v>
      </c>
      <c r="AH12" s="7">
        <f t="shared" si="2"/>
        <v>46</v>
      </c>
    </row>
    <row r="26" spans="1:4" x14ac:dyDescent="0.2">
      <c r="A26" s="55"/>
      <c r="B26" s="55"/>
      <c r="C26" s="55"/>
      <c r="D26" s="55"/>
    </row>
    <row r="27" spans="1:4" x14ac:dyDescent="0.2">
      <c r="A27" s="127" t="s">
        <v>1253</v>
      </c>
      <c r="B27" s="55"/>
      <c r="C27" s="55"/>
      <c r="D27" s="55"/>
    </row>
    <row r="28" spans="1:4" x14ac:dyDescent="0.2">
      <c r="A28" s="486"/>
      <c r="B28" s="55"/>
      <c r="C28" s="55"/>
      <c r="D28" s="55"/>
    </row>
    <row r="29" spans="1:4" x14ac:dyDescent="0.2">
      <c r="A29" s="487"/>
      <c r="B29" s="55"/>
      <c r="C29" s="55"/>
      <c r="D29" s="55"/>
    </row>
    <row r="30" spans="1:4" x14ac:dyDescent="0.2">
      <c r="A30" s="487"/>
      <c r="B30" s="55"/>
      <c r="C30" s="55"/>
      <c r="D30" s="55"/>
    </row>
    <row r="31" spans="1:4" x14ac:dyDescent="0.2">
      <c r="A31" s="487"/>
      <c r="B31" s="55"/>
      <c r="C31" s="55"/>
      <c r="D31" s="55"/>
    </row>
    <row r="32" spans="1:4" x14ac:dyDescent="0.2">
      <c r="A32" s="55"/>
      <c r="B32" s="55"/>
      <c r="C32" s="55"/>
      <c r="D32" s="55"/>
    </row>
    <row r="33" spans="1:4" x14ac:dyDescent="0.2">
      <c r="A33" s="55"/>
      <c r="B33" s="55"/>
      <c r="C33" s="55"/>
      <c r="D33" s="55"/>
    </row>
    <row r="34" spans="1:4" x14ac:dyDescent="0.2">
      <c r="A34" s="55"/>
      <c r="B34" s="55"/>
      <c r="C34" s="55"/>
      <c r="D34" s="55"/>
    </row>
    <row r="35" spans="1:4" x14ac:dyDescent="0.2">
      <c r="A35" s="55"/>
      <c r="B35" s="55"/>
      <c r="C35" s="55"/>
      <c r="D35" s="5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3"/>
  <dimension ref="B4:R23"/>
  <sheetViews>
    <sheetView showGridLines="0" zoomScaleNormal="100" zoomScalePageLayoutView="90" workbookViewId="0">
      <selection activeCell="J27" sqref="J27"/>
    </sheetView>
  </sheetViews>
  <sheetFormatPr defaultColWidth="8.85546875" defaultRowHeight="12.75" x14ac:dyDescent="0.2"/>
  <cols>
    <col min="1" max="1" width="8.85546875" style="6"/>
    <col min="2" max="2" width="9.5703125" style="6" customWidth="1"/>
    <col min="3" max="3" width="7.42578125" style="6" customWidth="1"/>
    <col min="4" max="4" width="6.28515625" style="6" customWidth="1"/>
    <col min="5" max="5" width="8.28515625" style="6" customWidth="1"/>
    <col min="6" max="6" width="8.140625" style="6" customWidth="1"/>
    <col min="7" max="9" width="8.28515625" style="6" customWidth="1"/>
    <col min="10" max="10" width="49.140625" style="6" customWidth="1"/>
    <col min="11" max="11" width="44.7109375" style="6" bestFit="1" customWidth="1"/>
    <col min="12" max="12" width="7.7109375" style="6" hidden="1" customWidth="1"/>
    <col min="13" max="17" width="6.7109375" style="6" customWidth="1"/>
    <col min="18" max="18" width="7" style="6" customWidth="1"/>
    <col min="19" max="16384" width="8.85546875" style="6"/>
  </cols>
  <sheetData>
    <row r="4" spans="2:18" ht="13.5" thickBot="1" x14ac:dyDescent="0.25">
      <c r="B4" s="60" t="s">
        <v>793</v>
      </c>
      <c r="J4" s="128" t="s">
        <v>1197</v>
      </c>
      <c r="K4" s="128" t="s">
        <v>204</v>
      </c>
      <c r="L4" s="57"/>
      <c r="M4" s="57"/>
      <c r="N4" s="57"/>
      <c r="O4" s="57"/>
      <c r="P4" s="57"/>
      <c r="Q4" s="57"/>
      <c r="R4" s="57"/>
    </row>
    <row r="6" spans="2:18" x14ac:dyDescent="0.2">
      <c r="L6" s="11">
        <v>2015</v>
      </c>
      <c r="M6" s="11">
        <v>2016</v>
      </c>
      <c r="N6" s="11">
        <v>2017</v>
      </c>
      <c r="O6" s="11">
        <v>2018</v>
      </c>
      <c r="P6" s="11">
        <v>2019</v>
      </c>
      <c r="Q6" s="11">
        <v>2020</v>
      </c>
      <c r="R6" s="11">
        <v>2021</v>
      </c>
    </row>
    <row r="7" spans="2:18" x14ac:dyDescent="0.2">
      <c r="J7" s="16" t="s">
        <v>1254</v>
      </c>
      <c r="K7" s="16" t="s">
        <v>124</v>
      </c>
      <c r="L7" s="218">
        <v>-1.3429083213278972</v>
      </c>
      <c r="M7" s="218">
        <f>'Graf 19'!AC5-'Graf 19'!AB5</f>
        <v>-0.40773144455283017</v>
      </c>
      <c r="N7" s="218">
        <f>'Graf 19'!AD5-'Graf 19'!AC5</f>
        <v>-0.82516447193672349</v>
      </c>
      <c r="O7" s="218">
        <f>'Graf 19'!AE5-'Graf 19'!AD5</f>
        <v>-2.2680202113917147</v>
      </c>
      <c r="P7" s="218">
        <f>'Graf 19'!AF5-'Graf 19'!AE5</f>
        <v>-1.4183645599165544</v>
      </c>
      <c r="Q7" s="218">
        <f>'Graf 19'!AG5-'Graf 19'!AF5</f>
        <v>-1.2716383438815626</v>
      </c>
      <c r="R7" s="218">
        <f>'Graf 19'!AH5-'Graf 19'!AG5</f>
        <v>-1.1745863545756237</v>
      </c>
    </row>
    <row r="8" spans="2:18" x14ac:dyDescent="0.2">
      <c r="J8" s="219" t="s">
        <v>1255</v>
      </c>
      <c r="K8" s="219" t="s">
        <v>125</v>
      </c>
      <c r="L8" s="220"/>
      <c r="M8" s="220"/>
      <c r="N8" s="220"/>
      <c r="O8" s="220"/>
      <c r="P8" s="220"/>
      <c r="Q8" s="220"/>
      <c r="R8" s="220"/>
    </row>
    <row r="9" spans="2:18" x14ac:dyDescent="0.2">
      <c r="J9" s="6" t="s">
        <v>1256</v>
      </c>
      <c r="K9" s="6" t="s">
        <v>126</v>
      </c>
      <c r="L9" s="7">
        <v>0.81822894170431559</v>
      </c>
      <c r="M9" s="7">
        <v>0.57728384825399592</v>
      </c>
      <c r="N9" s="7">
        <v>-0.62084569688698787</v>
      </c>
      <c r="O9" s="7">
        <v>-0.64907564476085144</v>
      </c>
      <c r="P9" s="7">
        <v>-1.0625693100383538</v>
      </c>
      <c r="Q9" s="7">
        <v>-1.0627113065359584</v>
      </c>
      <c r="R9" s="7">
        <v>-1.2193208245914331</v>
      </c>
    </row>
    <row r="10" spans="2:18" ht="17.100000000000001" customHeight="1" x14ac:dyDescent="0.2">
      <c r="J10" s="6" t="s">
        <v>1187</v>
      </c>
      <c r="K10" s="6" t="s">
        <v>127</v>
      </c>
      <c r="L10" s="7">
        <v>1.7430346759535043</v>
      </c>
      <c r="M10" s="7">
        <v>1.6445556834934025</v>
      </c>
      <c r="N10" s="7">
        <v>1.3978948525621551</v>
      </c>
      <c r="O10" s="7">
        <v>1.2502308801793691</v>
      </c>
      <c r="P10" s="7">
        <v>1.162727244126899</v>
      </c>
      <c r="Q10" s="7">
        <v>1.0627113065359584</v>
      </c>
      <c r="R10" s="7">
        <v>1.0190039825624526</v>
      </c>
    </row>
    <row r="11" spans="2:18" ht="17.100000000000001" customHeight="1" x14ac:dyDescent="0.2">
      <c r="J11" s="6" t="s">
        <v>1257</v>
      </c>
      <c r="K11" s="6" t="s">
        <v>128</v>
      </c>
      <c r="L11" s="7">
        <v>-2.0631189118032371</v>
      </c>
      <c r="M11" s="7">
        <v>-1.3412531229922084</v>
      </c>
      <c r="N11" s="7">
        <v>-2.2117288578262499</v>
      </c>
      <c r="O11" s="7">
        <v>-3.0853541292243269</v>
      </c>
      <c r="P11" s="7">
        <v>-3.2289587610041881</v>
      </c>
      <c r="Q11" s="7">
        <v>-2.8846773709202682</v>
      </c>
      <c r="R11" s="7">
        <v>-2.5606884408955954</v>
      </c>
    </row>
    <row r="12" spans="2:18" ht="17.100000000000001" customHeight="1" x14ac:dyDescent="0.2">
      <c r="J12" s="6" t="s">
        <v>1258</v>
      </c>
      <c r="K12" s="6" t="s">
        <v>129</v>
      </c>
      <c r="L12" s="7">
        <v>-1.8410530271824801</v>
      </c>
      <c r="M12" s="7">
        <v>-1.2883178533080202</v>
      </c>
      <c r="N12" s="7">
        <v>0.60951523021435927</v>
      </c>
      <c r="O12" s="7">
        <v>0.21617868241409455</v>
      </c>
      <c r="P12" s="7">
        <v>1.7104362669990885</v>
      </c>
      <c r="Q12" s="7">
        <v>1.6130390270387056</v>
      </c>
      <c r="R12" s="7">
        <v>1.5864189283489523</v>
      </c>
    </row>
    <row r="13" spans="2:18" ht="17.100000000000001" customHeight="1" x14ac:dyDescent="0.2">
      <c r="J13" s="6" t="s">
        <v>1259</v>
      </c>
      <c r="K13" s="6" t="s">
        <v>130</v>
      </c>
      <c r="L13" s="7">
        <v>-2.1386488836920772</v>
      </c>
      <c r="M13" s="7">
        <v>-1.5623979630693876</v>
      </c>
      <c r="N13" s="7">
        <v>-1.5982056453628837</v>
      </c>
      <c r="O13" s="7">
        <v>-2.0383490125674828</v>
      </c>
      <c r="P13" s="7">
        <v>-2.1459893145273812</v>
      </c>
      <c r="Q13" s="7">
        <v>-1.8231232295615425</v>
      </c>
      <c r="R13" s="7">
        <v>-1.515689098594357</v>
      </c>
    </row>
    <row r="14" spans="2:18" ht="17.100000000000001" customHeight="1" x14ac:dyDescent="0.2">
      <c r="J14" s="16" t="s">
        <v>1260</v>
      </c>
      <c r="K14" s="16" t="s">
        <v>131</v>
      </c>
      <c r="L14" s="218">
        <v>7.5529971888840031E-2</v>
      </c>
      <c r="M14" s="218">
        <v>0.22114484007717916</v>
      </c>
      <c r="N14" s="218">
        <v>-0.61352321246336627</v>
      </c>
      <c r="O14" s="218">
        <v>-1.0470051166568441</v>
      </c>
      <c r="P14" s="218">
        <v>-1.0829694464768069</v>
      </c>
      <c r="Q14" s="218">
        <v>-1.0615541413587257</v>
      </c>
      <c r="R14" s="218">
        <v>-1.0449993423012385</v>
      </c>
    </row>
    <row r="15" spans="2:18" ht="17.100000000000001" customHeight="1" x14ac:dyDescent="0.2">
      <c r="C15" s="217"/>
    </row>
    <row r="16" spans="2:18" ht="17.100000000000001" customHeight="1" x14ac:dyDescent="0.2">
      <c r="L16" s="7"/>
      <c r="M16" s="7"/>
      <c r="N16" s="7"/>
      <c r="O16" s="7"/>
      <c r="P16" s="7"/>
      <c r="Q16" s="7"/>
      <c r="R16" s="7"/>
    </row>
    <row r="17" spans="2:17" ht="17.100000000000001" customHeight="1" x14ac:dyDescent="0.2"/>
    <row r="18" spans="2:17" ht="17.100000000000001" customHeight="1" x14ac:dyDescent="0.2"/>
    <row r="19" spans="2:17" ht="17.100000000000001" customHeight="1" x14ac:dyDescent="0.2"/>
    <row r="23" spans="2:17" x14ac:dyDescent="0.2">
      <c r="B23" s="60" t="s">
        <v>1261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/>
  <dimension ref="B4:V30"/>
  <sheetViews>
    <sheetView showGridLines="0" topLeftCell="A10" zoomScaleNormal="100" zoomScalePageLayoutView="90" workbookViewId="0">
      <selection activeCell="P12" sqref="P12"/>
    </sheetView>
  </sheetViews>
  <sheetFormatPr defaultColWidth="8.85546875" defaultRowHeight="12.75" x14ac:dyDescent="0.2"/>
  <cols>
    <col min="1" max="1" width="8.85546875" style="6" customWidth="1"/>
    <col min="2" max="2" width="9.140625" style="6" customWidth="1"/>
    <col min="3" max="3" width="6.28515625" style="6" customWidth="1"/>
    <col min="4" max="4" width="8.28515625" style="6" customWidth="1"/>
    <col min="5" max="5" width="8.140625" style="6" customWidth="1"/>
    <col min="6" max="7" width="8.28515625" style="6" customWidth="1"/>
    <col min="8" max="8" width="4.28515625" style="6" hidden="1" customWidth="1"/>
    <col min="9" max="9" width="8" style="6" customWidth="1"/>
    <col min="10" max="10" width="8.28515625" style="6" customWidth="1"/>
    <col min="11" max="11" width="13" style="6" customWidth="1"/>
    <col min="12" max="12" width="9" style="6" customWidth="1"/>
    <col min="13" max="14" width="26" style="6" customWidth="1"/>
    <col min="15" max="15" width="7.140625" style="6" customWidth="1"/>
    <col min="16" max="16" width="8.140625" style="6" customWidth="1"/>
    <col min="17" max="22" width="10.42578125" style="6" customWidth="1"/>
    <col min="23" max="16384" width="8.85546875" style="6"/>
  </cols>
  <sheetData>
    <row r="4" spans="2:22" ht="13.5" thickBot="1" x14ac:dyDescent="0.25">
      <c r="B4" s="60" t="s">
        <v>794</v>
      </c>
      <c r="M4" s="57" t="s">
        <v>204</v>
      </c>
      <c r="N4" s="749" t="s">
        <v>1197</v>
      </c>
      <c r="O4" s="57"/>
      <c r="P4" s="57"/>
      <c r="Q4" s="128"/>
      <c r="R4" s="128"/>
      <c r="S4" s="128"/>
      <c r="T4" s="128"/>
      <c r="U4" s="128"/>
      <c r="V4" s="128"/>
    </row>
    <row r="5" spans="2:22" x14ac:dyDescent="0.2">
      <c r="O5" s="11">
        <v>2014</v>
      </c>
      <c r="P5" s="11">
        <v>2015</v>
      </c>
      <c r="Q5" s="11">
        <v>2016</v>
      </c>
      <c r="R5" s="11">
        <v>2017</v>
      </c>
      <c r="S5" s="11">
        <v>2018</v>
      </c>
      <c r="T5" s="11">
        <v>2019</v>
      </c>
      <c r="U5" s="11">
        <v>2020</v>
      </c>
      <c r="V5" s="11">
        <v>2021</v>
      </c>
    </row>
    <row r="6" spans="2:22" x14ac:dyDescent="0.2">
      <c r="M6" s="6" t="s">
        <v>12</v>
      </c>
      <c r="N6" s="6" t="s">
        <v>1246</v>
      </c>
      <c r="O6" s="7">
        <f>'Graf 19'!AA5</f>
        <v>53.523723760720657</v>
      </c>
      <c r="P6" s="7">
        <f>'Graf 19'!AB5</f>
        <v>52.180815439392759</v>
      </c>
      <c r="Q6" s="7">
        <f>'Tabuľka 8'!C6</f>
        <v>51.772784829816899</v>
      </c>
      <c r="R6" s="7">
        <f>'Tabuľka 8'!D6</f>
        <v>50.947662603557362</v>
      </c>
      <c r="S6" s="7">
        <f>'Tabuľka 8'!E6</f>
        <v>48.679657950939628</v>
      </c>
      <c r="T6" s="7">
        <f>'Tabuľka 8'!F6</f>
        <v>47.261309400574113</v>
      </c>
      <c r="U6" s="7">
        <f>'Tabuľka 8'!G6</f>
        <v>45.989684811323947</v>
      </c>
      <c r="V6" s="7">
        <f>'Tabuľka 8'!H6</f>
        <v>44.815110238301905</v>
      </c>
    </row>
    <row r="7" spans="2:22" x14ac:dyDescent="0.2">
      <c r="M7" s="16" t="s">
        <v>132</v>
      </c>
      <c r="N7" s="16" t="s">
        <v>1263</v>
      </c>
      <c r="O7" s="218">
        <v>49.73045701196547</v>
      </c>
      <c r="P7" s="218">
        <v>47.938581956369468</v>
      </c>
      <c r="Q7" s="218">
        <v>46.888509555300054</v>
      </c>
      <c r="R7" s="218">
        <v>45.575937143558477</v>
      </c>
      <c r="S7" s="218">
        <v>43.393033307834287</v>
      </c>
      <c r="T7" s="218">
        <v>41.711231606274715</v>
      </c>
      <c r="U7" s="218">
        <v>40.052108160419579</v>
      </c>
      <c r="V7" s="218">
        <v>38.542184262099305</v>
      </c>
    </row>
    <row r="8" spans="2:22" x14ac:dyDescent="0.2">
      <c r="M8" s="7" t="s">
        <v>592</v>
      </c>
      <c r="N8" s="753" t="s">
        <v>1264</v>
      </c>
      <c r="O8" s="7">
        <f>O6-O7</f>
        <v>3.7932667487551868</v>
      </c>
      <c r="P8" s="7">
        <f>P6-P7</f>
        <v>4.2422334830232913</v>
      </c>
      <c r="Q8" s="7">
        <v>4.8845744395398754</v>
      </c>
      <c r="R8" s="7">
        <v>5.3719823793447317</v>
      </c>
      <c r="S8" s="7">
        <v>5.2868660036771971</v>
      </c>
      <c r="T8" s="7">
        <v>5.5503031453202203</v>
      </c>
      <c r="U8" s="7">
        <v>5.9377882472937928</v>
      </c>
      <c r="V8" s="7">
        <v>6.2731257910384421</v>
      </c>
    </row>
    <row r="17" spans="2:7" ht="17.100000000000001" customHeight="1" x14ac:dyDescent="0.2"/>
    <row r="18" spans="2:7" ht="17.100000000000001" customHeight="1" x14ac:dyDescent="0.2"/>
    <row r="19" spans="2:7" ht="17.100000000000001" customHeight="1" x14ac:dyDescent="0.2"/>
    <row r="20" spans="2:7" ht="17.100000000000001" customHeight="1" x14ac:dyDescent="0.2"/>
    <row r="21" spans="2:7" ht="17.100000000000001" customHeight="1" x14ac:dyDescent="0.2"/>
    <row r="22" spans="2:7" ht="17.100000000000001" customHeight="1" x14ac:dyDescent="0.2">
      <c r="B22" s="217"/>
    </row>
    <row r="23" spans="2:7" ht="17.100000000000001" customHeight="1" x14ac:dyDescent="0.2"/>
    <row r="24" spans="2:7" ht="17.100000000000001" customHeight="1" x14ac:dyDescent="0.2">
      <c r="B24" s="60" t="s">
        <v>1262</v>
      </c>
    </row>
    <row r="25" spans="2:7" ht="17.100000000000001" customHeight="1" x14ac:dyDescent="0.2"/>
    <row r="26" spans="2:7" ht="17.100000000000001" customHeight="1" x14ac:dyDescent="0.2"/>
    <row r="30" spans="2:7" x14ac:dyDescent="0.2">
      <c r="G30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7"/>
  <dimension ref="A1:AE105"/>
  <sheetViews>
    <sheetView showGridLines="0" zoomScaleNormal="100" workbookViewId="0">
      <pane xSplit="5" ySplit="5" topLeftCell="L6" activePane="bottomRight" state="frozen"/>
      <selection pane="topRight" activeCell="E1" sqref="E1"/>
      <selection pane="bottomLeft" activeCell="A6" sqref="A6"/>
      <selection pane="bottomRight" activeCell="B90" sqref="B90"/>
    </sheetView>
  </sheetViews>
  <sheetFormatPr defaultColWidth="9.140625" defaultRowHeight="12.75" x14ac:dyDescent="0.2"/>
  <cols>
    <col min="1" max="2" width="39.5703125" style="379" customWidth="1"/>
    <col min="3" max="3" width="16.7109375" style="379" customWidth="1"/>
    <col min="4" max="4" width="16.28515625" style="384" hidden="1" customWidth="1"/>
    <col min="5" max="5" width="13.42578125" style="384" customWidth="1"/>
    <col min="6" max="6" width="10.140625" style="379" customWidth="1"/>
    <col min="7" max="9" width="10" style="379" customWidth="1"/>
    <col min="10" max="12" width="10.28515625" style="379" customWidth="1"/>
    <col min="13" max="13" width="10" style="379" bestFit="1" customWidth="1"/>
    <col min="14" max="14" width="10.85546875" style="379" customWidth="1"/>
    <col min="15" max="15" width="10" style="379" bestFit="1" customWidth="1"/>
    <col min="16" max="16" width="8.7109375" style="379" bestFit="1" customWidth="1"/>
    <col min="17" max="17" width="9.28515625" style="379" customWidth="1"/>
    <col min="18" max="18" width="10.42578125" style="379" customWidth="1"/>
    <col min="19" max="20" width="10.42578125" style="379" bestFit="1" customWidth="1"/>
    <col min="21" max="21" width="9.140625" style="379"/>
    <col min="22" max="22" width="46.140625" style="379" bestFit="1" customWidth="1"/>
    <col min="23" max="23" width="4.42578125" style="379" bestFit="1" customWidth="1"/>
    <col min="24" max="24" width="5" style="379" bestFit="1" customWidth="1"/>
    <col min="25" max="26" width="4.42578125" style="379" bestFit="1" customWidth="1"/>
    <col min="27" max="27" width="5.7109375" style="379" bestFit="1" customWidth="1"/>
    <col min="28" max="28" width="7" style="379" bestFit="1" customWidth="1"/>
    <col min="29" max="31" width="4.42578125" style="379" bestFit="1" customWidth="1"/>
    <col min="32" max="16384" width="9.140625" style="379"/>
  </cols>
  <sheetData>
    <row r="1" spans="1:31" ht="15.75" customHeight="1" x14ac:dyDescent="0.2">
      <c r="A1" s="6"/>
      <c r="B1" s="6"/>
    </row>
    <row r="2" spans="1:31" ht="15.75" customHeight="1" x14ac:dyDescent="0.2">
      <c r="L2" s="382"/>
    </row>
    <row r="3" spans="1:31" ht="16.5" customHeight="1" x14ac:dyDescent="0.2">
      <c r="A3" s="61" t="s">
        <v>390</v>
      </c>
      <c r="B3" s="61"/>
      <c r="C3" s="61"/>
      <c r="D3" s="62"/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31" ht="20.25" customHeight="1" x14ac:dyDescent="0.2">
      <c r="A4" s="64"/>
      <c r="B4" s="64"/>
      <c r="C4" s="811" t="s">
        <v>391</v>
      </c>
      <c r="D4" s="813" t="s">
        <v>1486</v>
      </c>
      <c r="E4" s="813" t="s">
        <v>1485</v>
      </c>
      <c r="F4" s="385">
        <v>2008</v>
      </c>
      <c r="G4" s="385">
        <v>2009</v>
      </c>
      <c r="H4" s="385">
        <v>2010</v>
      </c>
      <c r="I4" s="386">
        <v>2011</v>
      </c>
      <c r="J4" s="387">
        <v>2012</v>
      </c>
      <c r="K4" s="387">
        <v>2013</v>
      </c>
      <c r="L4" s="387">
        <v>2014</v>
      </c>
      <c r="M4" s="387">
        <v>2015</v>
      </c>
      <c r="N4" s="387">
        <v>2016</v>
      </c>
      <c r="O4" s="387">
        <v>2017</v>
      </c>
      <c r="P4" s="387">
        <v>2018</v>
      </c>
      <c r="Q4" s="387">
        <v>2018</v>
      </c>
      <c r="R4" s="387">
        <v>2019</v>
      </c>
      <c r="S4" s="387">
        <v>2020</v>
      </c>
      <c r="T4" s="387">
        <v>2021</v>
      </c>
    </row>
    <row r="5" spans="1:31" ht="17.25" customHeight="1" x14ac:dyDescent="0.2">
      <c r="A5" s="65"/>
      <c r="B5" s="65"/>
      <c r="C5" s="812"/>
      <c r="D5" s="814"/>
      <c r="E5" s="814"/>
      <c r="F5" s="388" t="s">
        <v>1487</v>
      </c>
      <c r="G5" s="388" t="s">
        <v>1487</v>
      </c>
      <c r="H5" s="388" t="s">
        <v>1487</v>
      </c>
      <c r="I5" s="388" t="s">
        <v>1487</v>
      </c>
      <c r="J5" s="388" t="s">
        <v>1487</v>
      </c>
      <c r="K5" s="388" t="s">
        <v>1487</v>
      </c>
      <c r="L5" s="388" t="s">
        <v>1487</v>
      </c>
      <c r="M5" s="388" t="s">
        <v>1487</v>
      </c>
      <c r="N5" s="388" t="s">
        <v>1487</v>
      </c>
      <c r="O5" s="388" t="s">
        <v>1487</v>
      </c>
      <c r="P5" s="389" t="s">
        <v>1488</v>
      </c>
      <c r="Q5" s="389" t="s">
        <v>1489</v>
      </c>
      <c r="R5" s="389" t="s">
        <v>1490</v>
      </c>
      <c r="S5" s="389" t="s">
        <v>1490</v>
      </c>
      <c r="T5" s="389" t="s">
        <v>1490</v>
      </c>
    </row>
    <row r="6" spans="1:31" ht="16.5" customHeight="1" x14ac:dyDescent="0.2">
      <c r="A6" s="66" t="s">
        <v>35</v>
      </c>
      <c r="B6" s="66" t="s">
        <v>1491</v>
      </c>
      <c r="C6" s="67" t="s">
        <v>36</v>
      </c>
      <c r="D6" s="67" t="s">
        <v>392</v>
      </c>
      <c r="E6" s="67" t="s">
        <v>392</v>
      </c>
      <c r="F6" s="390">
        <f t="shared" ref="F6:O6" si="0">F8+F23+F29+F36</f>
        <v>23636.485000000001</v>
      </c>
      <c r="G6" s="390">
        <f t="shared" si="0"/>
        <v>23227.662</v>
      </c>
      <c r="H6" s="390">
        <f t="shared" si="0"/>
        <v>23422.342000000001</v>
      </c>
      <c r="I6" s="390">
        <f t="shared" si="0"/>
        <v>25807.131000000001</v>
      </c>
      <c r="J6" s="390">
        <f t="shared" si="0"/>
        <v>26380.595999999998</v>
      </c>
      <c r="K6" s="390">
        <f t="shared" si="0"/>
        <v>28719.138999999996</v>
      </c>
      <c r="L6" s="390">
        <f t="shared" si="0"/>
        <v>29927.375000000004</v>
      </c>
      <c r="M6" s="390">
        <f>M8+M23+M29+M36</f>
        <v>33656.864000000001</v>
      </c>
      <c r="N6" s="390">
        <f t="shared" si="0"/>
        <v>31863.859</v>
      </c>
      <c r="O6" s="390">
        <f t="shared" si="0"/>
        <v>33451.970999999998</v>
      </c>
      <c r="P6" s="390">
        <f>P8+P23+P29+P36</f>
        <v>34432.272000000004</v>
      </c>
      <c r="Q6" s="390">
        <f>Q8+Q23+Q29+Q36</f>
        <v>35388.049999999996</v>
      </c>
      <c r="R6" s="390">
        <f>R8+R23+R29+R36+R41</f>
        <v>37161.334999999999</v>
      </c>
      <c r="S6" s="390">
        <f>S8+S23+S29+S36+S41</f>
        <v>39744.764999999999</v>
      </c>
      <c r="T6" s="390">
        <f>T8+T23+T29+T36+T41</f>
        <v>41076.82</v>
      </c>
    </row>
    <row r="7" spans="1:31" ht="16.5" customHeight="1" x14ac:dyDescent="0.2">
      <c r="A7" s="68" t="s">
        <v>4</v>
      </c>
      <c r="B7" s="68" t="s">
        <v>1492</v>
      </c>
      <c r="C7" s="69"/>
      <c r="D7" s="70"/>
      <c r="E7" s="70"/>
      <c r="F7" s="71">
        <f t="shared" ref="F7:T7" si="1">F6/F90</f>
        <v>0.34595439402975409</v>
      </c>
      <c r="G7" s="71">
        <f t="shared" si="1"/>
        <v>0.36396437052231168</v>
      </c>
      <c r="H7" s="71">
        <f t="shared" si="1"/>
        <v>0.34660079877724598</v>
      </c>
      <c r="I7" s="71">
        <f t="shared" si="1"/>
        <v>0.36539929620604411</v>
      </c>
      <c r="J7" s="71">
        <f t="shared" si="1"/>
        <v>0.36285173730188247</v>
      </c>
      <c r="K7" s="71">
        <f t="shared" si="1"/>
        <v>0.38720760651700176</v>
      </c>
      <c r="L7" s="71">
        <f t="shared" si="1"/>
        <v>0.39332691083979326</v>
      </c>
      <c r="M7" s="71">
        <f t="shared" si="1"/>
        <v>0.42529203517055636</v>
      </c>
      <c r="N7" s="71">
        <f t="shared" si="1"/>
        <v>0.39228609513105478</v>
      </c>
      <c r="O7" s="71">
        <f t="shared" si="1"/>
        <v>0.39424427142612578</v>
      </c>
      <c r="P7" s="71">
        <f t="shared" si="1"/>
        <v>0.38473832704063793</v>
      </c>
      <c r="Q7" s="71">
        <f t="shared" si="1"/>
        <v>0.39180487080710441</v>
      </c>
      <c r="R7" s="71">
        <f t="shared" si="1"/>
        <v>0.38414723310685972</v>
      </c>
      <c r="S7" s="71">
        <f t="shared" si="1"/>
        <v>0.38577586934189656</v>
      </c>
      <c r="T7" s="71">
        <f t="shared" si="1"/>
        <v>0.37650558065547102</v>
      </c>
    </row>
    <row r="8" spans="1:31" s="381" customFormat="1" ht="16.5" customHeight="1" x14ac:dyDescent="0.2">
      <c r="A8" s="72" t="s">
        <v>393</v>
      </c>
      <c r="B8" s="72" t="s">
        <v>1493</v>
      </c>
      <c r="C8" s="73" t="s">
        <v>394</v>
      </c>
      <c r="D8" s="74" t="s">
        <v>395</v>
      </c>
      <c r="E8" s="74" t="s">
        <v>396</v>
      </c>
      <c r="F8" s="391">
        <f t="shared" ref="F8:P8" si="2">F9+F14+F22</f>
        <v>11680.142000000002</v>
      </c>
      <c r="G8" s="391">
        <f t="shared" si="2"/>
        <v>10368.727999999999</v>
      </c>
      <c r="H8" s="391">
        <f t="shared" si="2"/>
        <v>10591.187</v>
      </c>
      <c r="I8" s="391">
        <f t="shared" si="2"/>
        <v>11431.008</v>
      </c>
      <c r="J8" s="391">
        <f t="shared" si="2"/>
        <v>11391.065000000001</v>
      </c>
      <c r="K8" s="391">
        <f t="shared" si="2"/>
        <v>12346.803999999998</v>
      </c>
      <c r="L8" s="391">
        <f t="shared" si="2"/>
        <v>13251.973000000002</v>
      </c>
      <c r="M8" s="391">
        <f t="shared" si="2"/>
        <v>14302.079</v>
      </c>
      <c r="N8" s="391">
        <f t="shared" si="2"/>
        <v>14573.064</v>
      </c>
      <c r="O8" s="391">
        <f t="shared" si="2"/>
        <v>15489.357</v>
      </c>
      <c r="P8" s="391">
        <f t="shared" si="2"/>
        <v>16223.173000000001</v>
      </c>
      <c r="Q8" s="391">
        <v>16615.809000000001</v>
      </c>
      <c r="R8" s="391">
        <v>17782.278000000002</v>
      </c>
      <c r="S8" s="391">
        <v>18734.001</v>
      </c>
      <c r="T8" s="391">
        <v>19411.864999999998</v>
      </c>
      <c r="U8" s="392"/>
    </row>
    <row r="9" spans="1:31" s="395" customFormat="1" ht="16.5" customHeight="1" x14ac:dyDescent="0.2">
      <c r="A9" s="75" t="s">
        <v>397</v>
      </c>
      <c r="B9" s="792" t="s">
        <v>1494</v>
      </c>
      <c r="C9" s="76" t="s">
        <v>38</v>
      </c>
      <c r="D9" s="77" t="s">
        <v>392</v>
      </c>
      <c r="E9" s="77" t="s">
        <v>398</v>
      </c>
      <c r="F9" s="393">
        <v>7078.8890000000001</v>
      </c>
      <c r="G9" s="393">
        <v>6630.0069999999996</v>
      </c>
      <c r="H9" s="393">
        <v>6779.116</v>
      </c>
      <c r="I9" s="393">
        <v>7377.5659999999998</v>
      </c>
      <c r="J9" s="393">
        <v>7163.223</v>
      </c>
      <c r="K9" s="393">
        <v>7632.2809999999999</v>
      </c>
      <c r="L9" s="393">
        <v>8045.2539999999999</v>
      </c>
      <c r="M9" s="394">
        <v>8506.1839999999993</v>
      </c>
      <c r="N9" s="393">
        <v>8630.3019999999997</v>
      </c>
      <c r="O9" s="393">
        <v>9250.8539999999994</v>
      </c>
      <c r="P9" s="393">
        <v>9831.2980000000007</v>
      </c>
      <c r="Q9" s="393">
        <v>10020.389866666668</v>
      </c>
      <c r="R9" s="393">
        <v>10666.058000000001</v>
      </c>
      <c r="S9" s="393">
        <v>11208.237999999999</v>
      </c>
      <c r="T9" s="393">
        <v>11499.567999999999</v>
      </c>
      <c r="U9" s="392"/>
    </row>
    <row r="10" spans="1:31" s="395" customFormat="1" ht="16.5" customHeight="1" x14ac:dyDescent="0.2">
      <c r="A10" s="78" t="s">
        <v>399</v>
      </c>
      <c r="B10" s="793" t="s">
        <v>1495</v>
      </c>
      <c r="C10" s="79" t="s">
        <v>400</v>
      </c>
      <c r="D10" s="80" t="s">
        <v>401</v>
      </c>
      <c r="E10" s="80" t="s">
        <v>402</v>
      </c>
      <c r="F10" s="393">
        <v>4621.424</v>
      </c>
      <c r="G10" s="393">
        <v>4221.2879999999996</v>
      </c>
      <c r="H10" s="393">
        <v>4182.1009999999997</v>
      </c>
      <c r="I10" s="393">
        <v>4710.9139999999998</v>
      </c>
      <c r="J10" s="393">
        <v>4327.7020000000002</v>
      </c>
      <c r="K10" s="393">
        <v>4696.12</v>
      </c>
      <c r="L10" s="393">
        <v>5021.1310000000003</v>
      </c>
      <c r="M10" s="394">
        <v>5420.1729999999998</v>
      </c>
      <c r="N10" s="393">
        <v>5419.65</v>
      </c>
      <c r="O10" s="393">
        <v>5916.5889999999999</v>
      </c>
      <c r="P10" s="393">
        <v>6104.4170000000004</v>
      </c>
      <c r="Q10" s="393">
        <v>6349.5110000000004</v>
      </c>
      <c r="R10" s="393">
        <v>6663.6639999999998</v>
      </c>
      <c r="S10" s="393">
        <v>7016.0870000000004</v>
      </c>
      <c r="T10" s="393">
        <v>7370.0590000000002</v>
      </c>
      <c r="U10" s="392"/>
    </row>
    <row r="11" spans="1:31" s="395" customFormat="1" ht="16.5" customHeight="1" x14ac:dyDescent="0.2">
      <c r="A11" s="81" t="s">
        <v>403</v>
      </c>
      <c r="B11" s="794" t="s">
        <v>1496</v>
      </c>
      <c r="C11" s="79" t="s">
        <v>404</v>
      </c>
      <c r="D11" s="80" t="s">
        <v>401</v>
      </c>
      <c r="E11" s="80" t="s">
        <v>405</v>
      </c>
      <c r="F11" s="393">
        <f>0+1809.268</f>
        <v>1809.268</v>
      </c>
      <c r="G11" s="393">
        <f>0+1761.719</f>
        <v>1761.7190000000001</v>
      </c>
      <c r="H11" s="393">
        <f>0+1930.806</f>
        <v>1930.806</v>
      </c>
      <c r="I11" s="393">
        <f>0+1999.131</f>
        <v>1999.1310000000001</v>
      </c>
      <c r="J11" s="393">
        <f>0+1973.341</f>
        <v>1973.3409999999999</v>
      </c>
      <c r="K11" s="393">
        <f>0+1984.783</f>
        <v>1984.7829999999999</v>
      </c>
      <c r="L11" s="393">
        <f>0+2014.994</f>
        <v>2014.9939999999999</v>
      </c>
      <c r="M11" s="393">
        <f>0+2108.224</f>
        <v>2108.2240000000002</v>
      </c>
      <c r="N11" s="393">
        <f>0+2173.884</f>
        <v>2173.884</v>
      </c>
      <c r="O11" s="393">
        <v>2271.5810000000001</v>
      </c>
      <c r="P11" s="393">
        <v>2341.1289999999999</v>
      </c>
      <c r="Q11" s="393">
        <v>2327.3489999999997</v>
      </c>
      <c r="R11" s="393">
        <v>2426.4250000000002</v>
      </c>
      <c r="S11" s="393">
        <v>2496.3870000000002</v>
      </c>
      <c r="T11" s="393">
        <v>2551.4690000000001</v>
      </c>
      <c r="U11" s="392"/>
    </row>
    <row r="12" spans="1:31" s="395" customFormat="1" ht="16.5" customHeight="1" x14ac:dyDescent="0.2">
      <c r="A12" s="78" t="s">
        <v>406</v>
      </c>
      <c r="B12" s="793" t="s">
        <v>1497</v>
      </c>
      <c r="C12" s="79" t="s">
        <v>407</v>
      </c>
      <c r="D12" s="80" t="s">
        <v>401</v>
      </c>
      <c r="E12" s="80" t="s">
        <v>408</v>
      </c>
      <c r="F12" s="393">
        <v>3.3000000000000002E-2</v>
      </c>
      <c r="G12" s="393">
        <v>2.1999999999999999E-2</v>
      </c>
      <c r="H12" s="393">
        <v>1.9E-2</v>
      </c>
      <c r="I12" s="393">
        <v>5.5E-2</v>
      </c>
      <c r="J12" s="393">
        <v>8.3000000000000004E-2</v>
      </c>
      <c r="K12" s="393">
        <v>5.8000000000000003E-2</v>
      </c>
      <c r="L12" s="393">
        <v>-7.0000000000000001E-3</v>
      </c>
      <c r="M12" s="394">
        <v>0.02</v>
      </c>
      <c r="N12" s="393">
        <v>3.9E-2</v>
      </c>
      <c r="O12" s="393">
        <v>8.0000000000000002E-3</v>
      </c>
      <c r="P12" s="393">
        <v>0</v>
      </c>
      <c r="Q12" s="393">
        <v>0</v>
      </c>
      <c r="R12" s="393">
        <v>0</v>
      </c>
      <c r="S12" s="393">
        <v>0</v>
      </c>
      <c r="T12" s="393">
        <v>0</v>
      </c>
      <c r="U12" s="392"/>
    </row>
    <row r="13" spans="1:31" s="395" customFormat="1" ht="16.5" customHeight="1" x14ac:dyDescent="0.2">
      <c r="A13" s="81" t="s">
        <v>409</v>
      </c>
      <c r="B13" s="794" t="s">
        <v>1498</v>
      </c>
      <c r="C13" s="79" t="s">
        <v>410</v>
      </c>
      <c r="D13" s="80" t="s">
        <v>401</v>
      </c>
      <c r="E13" s="80" t="s">
        <v>411</v>
      </c>
      <c r="F13" s="393">
        <v>171.512</v>
      </c>
      <c r="G13" s="393">
        <v>182.28200000000001</v>
      </c>
      <c r="H13" s="393">
        <v>188.87</v>
      </c>
      <c r="I13" s="393">
        <v>195.32599999999999</v>
      </c>
      <c r="J13" s="393">
        <v>215.346</v>
      </c>
      <c r="K13" s="393">
        <v>222.65199999999999</v>
      </c>
      <c r="L13" s="393">
        <v>224.87299999999999</v>
      </c>
      <c r="M13" s="394">
        <v>228.214</v>
      </c>
      <c r="N13" s="393">
        <v>236.89500000000001</v>
      </c>
      <c r="O13" s="393">
        <v>256.11766666666665</v>
      </c>
      <c r="P13" s="393">
        <v>261.26</v>
      </c>
      <c r="Q13" s="393">
        <v>252.51866666666666</v>
      </c>
      <c r="R13" s="393">
        <v>258.37900000000002</v>
      </c>
      <c r="S13" s="393">
        <v>264.464</v>
      </c>
      <c r="T13" s="393">
        <v>270.64600000000002</v>
      </c>
      <c r="U13" s="392"/>
      <c r="V13" s="392"/>
      <c r="Z13" s="396"/>
      <c r="AA13" s="396"/>
      <c r="AB13" s="396"/>
      <c r="AC13" s="396"/>
      <c r="AD13" s="396"/>
      <c r="AE13" s="396"/>
    </row>
    <row r="14" spans="1:31" ht="16.5" customHeight="1" x14ac:dyDescent="0.2">
      <c r="A14" s="82" t="s">
        <v>39</v>
      </c>
      <c r="B14" s="795" t="s">
        <v>1499</v>
      </c>
      <c r="C14" s="76" t="s">
        <v>40</v>
      </c>
      <c r="D14" s="83" t="s">
        <v>392</v>
      </c>
      <c r="E14" s="77" t="s">
        <v>412</v>
      </c>
      <c r="F14" s="393">
        <v>4601.1530000000002</v>
      </c>
      <c r="G14" s="397">
        <v>3738.6759999999999</v>
      </c>
      <c r="H14" s="397">
        <v>3812.0509999999999</v>
      </c>
      <c r="I14" s="397">
        <v>4053.4290000000001</v>
      </c>
      <c r="J14" s="397">
        <v>4227.83</v>
      </c>
      <c r="K14" s="393">
        <v>4714.5159999999996</v>
      </c>
      <c r="L14" s="393">
        <v>5206.7150000000001</v>
      </c>
      <c r="M14" s="394">
        <v>5795.9009999999998</v>
      </c>
      <c r="N14" s="393">
        <v>5942.7579999999998</v>
      </c>
      <c r="O14" s="393">
        <v>6238.5029999999997</v>
      </c>
      <c r="P14" s="393">
        <v>6391.875</v>
      </c>
      <c r="Q14" s="393">
        <v>6595.4191333333338</v>
      </c>
      <c r="R14" s="393">
        <v>7116.22</v>
      </c>
      <c r="S14" s="393">
        <v>7525.7629999999999</v>
      </c>
      <c r="T14" s="393">
        <v>7912.2969999999996</v>
      </c>
      <c r="U14" s="392"/>
      <c r="V14" s="392"/>
      <c r="W14" s="395"/>
      <c r="X14" s="395"/>
      <c r="Y14" s="395"/>
      <c r="Z14" s="396"/>
      <c r="AA14" s="396"/>
      <c r="AB14" s="396"/>
      <c r="AC14" s="396"/>
      <c r="AD14" s="396"/>
      <c r="AE14" s="396"/>
    </row>
    <row r="15" spans="1:31" ht="16.5" customHeight="1" x14ac:dyDescent="0.2">
      <c r="A15" s="78" t="s">
        <v>413</v>
      </c>
      <c r="B15" s="793" t="s">
        <v>1500</v>
      </c>
      <c r="C15" s="79" t="s">
        <v>414</v>
      </c>
      <c r="D15" s="80" t="s">
        <v>401</v>
      </c>
      <c r="E15" s="80" t="s">
        <v>415</v>
      </c>
      <c r="F15" s="393">
        <v>2095.1779999999999</v>
      </c>
      <c r="G15" s="397">
        <v>1793.693</v>
      </c>
      <c r="H15" s="397">
        <v>1789.5650000000001</v>
      </c>
      <c r="I15" s="397">
        <v>1999.8820000000001</v>
      </c>
      <c r="J15" s="397">
        <v>2122.7759999999998</v>
      </c>
      <c r="K15" s="393">
        <v>2175.0250000000001</v>
      </c>
      <c r="L15" s="394">
        <v>2275.1170000000002</v>
      </c>
      <c r="M15" s="394">
        <v>2463.6419999999998</v>
      </c>
      <c r="N15" s="393">
        <v>2679.4659999999999</v>
      </c>
      <c r="O15" s="393">
        <v>2856.0650000000001</v>
      </c>
      <c r="P15" s="393">
        <f>P16+P17</f>
        <v>3077.0920000000001</v>
      </c>
      <c r="Q15" s="393">
        <v>3189.6329999999998</v>
      </c>
      <c r="R15" s="393">
        <v>3426.902</v>
      </c>
      <c r="S15" s="393">
        <v>3704.1120000000001</v>
      </c>
      <c r="T15" s="393">
        <v>3958.0649999999996</v>
      </c>
      <c r="U15" s="392"/>
      <c r="V15" s="392"/>
    </row>
    <row r="16" spans="1:31" ht="16.5" customHeight="1" x14ac:dyDescent="0.2">
      <c r="A16" s="84" t="s">
        <v>416</v>
      </c>
      <c r="B16" s="796" t="s">
        <v>1501</v>
      </c>
      <c r="C16" s="79" t="s">
        <v>417</v>
      </c>
      <c r="D16" s="83" t="s">
        <v>418</v>
      </c>
      <c r="E16" s="83" t="s">
        <v>418</v>
      </c>
      <c r="F16" s="394">
        <f>0+1639.776</f>
        <v>1639.7760000000001</v>
      </c>
      <c r="G16" s="398">
        <v>1468.115</v>
      </c>
      <c r="H16" s="398">
        <v>1431.1880000000001</v>
      </c>
      <c r="I16" s="398">
        <v>1638.58</v>
      </c>
      <c r="J16" s="398">
        <v>1763.433</v>
      </c>
      <c r="K16" s="394">
        <v>1788.0440000000001</v>
      </c>
      <c r="L16" s="394">
        <v>1903.7840000000001</v>
      </c>
      <c r="M16" s="394">
        <f>2082.0493+0.007</f>
        <v>2082.0563000000002</v>
      </c>
      <c r="N16" s="393">
        <f>2291.785</f>
        <v>2291.7849999999999</v>
      </c>
      <c r="O16" s="393">
        <v>2734.1680000000001</v>
      </c>
      <c r="P16" s="393">
        <v>2938.9360000000001</v>
      </c>
      <c r="Q16" s="393">
        <v>3075.3251077250857</v>
      </c>
      <c r="R16" s="393">
        <v>3307.288</v>
      </c>
      <c r="S16" s="393">
        <v>3582.06</v>
      </c>
      <c r="T16" s="393">
        <v>3830.0459999999998</v>
      </c>
      <c r="U16" s="392"/>
      <c r="V16" s="392"/>
    </row>
    <row r="17" spans="1:22" ht="16.5" customHeight="1" x14ac:dyDescent="0.2">
      <c r="A17" s="84" t="s">
        <v>419</v>
      </c>
      <c r="B17" s="796" t="s">
        <v>1502</v>
      </c>
      <c r="C17" s="79" t="s">
        <v>420</v>
      </c>
      <c r="D17" s="85" t="s">
        <v>421</v>
      </c>
      <c r="E17" s="85" t="s">
        <v>421</v>
      </c>
      <c r="F17" s="394">
        <f>0+202.365</f>
        <v>202.36500000000001</v>
      </c>
      <c r="G17" s="398">
        <v>188.64599999999999</v>
      </c>
      <c r="H17" s="398">
        <v>47.405999999999999</v>
      </c>
      <c r="I17" s="398">
        <v>59.451999999999998</v>
      </c>
      <c r="J17" s="398">
        <v>85.807000000000002</v>
      </c>
      <c r="K17" s="394">
        <v>79.712000000000003</v>
      </c>
      <c r="L17" s="394">
        <v>82.671000000000006</v>
      </c>
      <c r="M17" s="394">
        <v>100.68899999999999</v>
      </c>
      <c r="N17" s="393">
        <v>111.893</v>
      </c>
      <c r="O17" s="393">
        <v>131.745</v>
      </c>
      <c r="P17" s="393">
        <v>138.15600000000001</v>
      </c>
      <c r="Q17" s="393">
        <v>114.30789227491412</v>
      </c>
      <c r="R17" s="393">
        <v>119.614</v>
      </c>
      <c r="S17" s="393">
        <v>122.05200000000001</v>
      </c>
      <c r="T17" s="393">
        <v>128.01900000000001</v>
      </c>
      <c r="U17" s="392"/>
      <c r="V17" s="392"/>
    </row>
    <row r="18" spans="1:22" ht="16.5" customHeight="1" x14ac:dyDescent="0.2">
      <c r="A18" s="86" t="s">
        <v>422</v>
      </c>
      <c r="B18" s="797" t="s">
        <v>1503</v>
      </c>
      <c r="C18" s="79" t="s">
        <v>423</v>
      </c>
      <c r="D18" s="80" t="s">
        <v>401</v>
      </c>
      <c r="E18" s="80" t="s">
        <v>424</v>
      </c>
      <c r="F18" s="394">
        <v>2087.4659999999999</v>
      </c>
      <c r="G18" s="398">
        <v>1576.972</v>
      </c>
      <c r="H18" s="398">
        <v>1659.23</v>
      </c>
      <c r="I18" s="398">
        <v>1699.1869999999999</v>
      </c>
      <c r="J18" s="398">
        <v>1714.779</v>
      </c>
      <c r="K18" s="394">
        <v>2117.8330000000001</v>
      </c>
      <c r="L18" s="394">
        <v>2504.402</v>
      </c>
      <c r="M18" s="394">
        <v>2916.8159999999998</v>
      </c>
      <c r="N18" s="393">
        <v>2817.558</v>
      </c>
      <c r="O18" s="393">
        <v>2933.2550000000001</v>
      </c>
      <c r="P18" s="393">
        <v>2794.125</v>
      </c>
      <c r="Q18" s="393">
        <v>2902.819</v>
      </c>
      <c r="R18" s="393">
        <v>3144.1039999999998</v>
      </c>
      <c r="S18" s="393">
        <v>3274.6210000000001</v>
      </c>
      <c r="T18" s="393">
        <v>3410.0729999999999</v>
      </c>
      <c r="U18" s="392"/>
      <c r="V18" s="392"/>
    </row>
    <row r="19" spans="1:22" ht="16.5" customHeight="1" x14ac:dyDescent="0.2">
      <c r="A19" s="87" t="s">
        <v>425</v>
      </c>
      <c r="B19" s="798" t="s">
        <v>1504</v>
      </c>
      <c r="C19" s="79" t="s">
        <v>426</v>
      </c>
      <c r="D19" s="80" t="s">
        <v>401</v>
      </c>
      <c r="E19" s="80" t="s">
        <v>427</v>
      </c>
      <c r="F19" s="394">
        <v>205.96799999999999</v>
      </c>
      <c r="G19" s="398">
        <v>155.755</v>
      </c>
      <c r="H19" s="398">
        <v>152.33199999999999</v>
      </c>
      <c r="I19" s="398">
        <v>143.19999999999999</v>
      </c>
      <c r="J19" s="398">
        <v>167.14400000000001</v>
      </c>
      <c r="K19" s="394">
        <v>177.78399999999999</v>
      </c>
      <c r="L19" s="394">
        <v>175.06100000000001</v>
      </c>
      <c r="M19" s="394">
        <v>162.006</v>
      </c>
      <c r="N19" s="393">
        <v>172.21199999999999</v>
      </c>
      <c r="O19" s="393">
        <v>171.56399999999999</v>
      </c>
      <c r="P19" s="393">
        <v>242.63800000000001</v>
      </c>
      <c r="Q19" s="393">
        <v>229.74799999999999</v>
      </c>
      <c r="R19" s="393">
        <v>235.63900000000001</v>
      </c>
      <c r="S19" s="393">
        <v>249.21600000000001</v>
      </c>
      <c r="T19" s="393">
        <v>249.166</v>
      </c>
      <c r="U19" s="392"/>
      <c r="V19" s="392"/>
    </row>
    <row r="20" spans="1:22" s="395" customFormat="1" ht="16.5" customHeight="1" x14ac:dyDescent="0.2">
      <c r="A20" s="87" t="s">
        <v>428</v>
      </c>
      <c r="B20" s="798" t="s">
        <v>1505</v>
      </c>
      <c r="C20" s="79" t="s">
        <v>426</v>
      </c>
      <c r="D20" s="77" t="s">
        <v>429</v>
      </c>
      <c r="E20" s="77" t="s">
        <v>430</v>
      </c>
      <c r="F20" s="394">
        <v>0</v>
      </c>
      <c r="G20" s="394">
        <v>0</v>
      </c>
      <c r="H20" s="394">
        <v>0</v>
      </c>
      <c r="I20" s="394">
        <v>0</v>
      </c>
      <c r="J20" s="394">
        <f>10.028-10.028</f>
        <v>0</v>
      </c>
      <c r="K20" s="394">
        <f>0.012-0.012</f>
        <v>0</v>
      </c>
      <c r="L20" s="394">
        <f>0.006-0.006</f>
        <v>0</v>
      </c>
      <c r="M20" s="394">
        <v>0</v>
      </c>
      <c r="N20" s="393">
        <v>0</v>
      </c>
      <c r="O20" s="393">
        <v>0</v>
      </c>
      <c r="P20" s="393">
        <v>0</v>
      </c>
      <c r="Q20" s="393">
        <v>-1.1000000000000001</v>
      </c>
      <c r="R20" s="393">
        <v>0</v>
      </c>
      <c r="S20" s="393">
        <v>0</v>
      </c>
      <c r="T20" s="393">
        <v>0</v>
      </c>
      <c r="U20" s="392"/>
      <c r="V20" s="392"/>
    </row>
    <row r="21" spans="1:22" ht="16.5" customHeight="1" x14ac:dyDescent="0.2">
      <c r="A21" s="86" t="s">
        <v>409</v>
      </c>
      <c r="B21" s="797" t="s">
        <v>1506</v>
      </c>
      <c r="C21" s="79" t="s">
        <v>431</v>
      </c>
      <c r="D21" s="80" t="s">
        <v>401</v>
      </c>
      <c r="E21" s="80" t="s">
        <v>432</v>
      </c>
      <c r="F21" s="394">
        <v>78.835999999999999</v>
      </c>
      <c r="G21" s="394">
        <v>84.311999999999998</v>
      </c>
      <c r="H21" s="394">
        <v>87.986999999999995</v>
      </c>
      <c r="I21" s="394">
        <v>90.650999999999996</v>
      </c>
      <c r="J21" s="394">
        <v>100.535</v>
      </c>
      <c r="K21" s="394">
        <v>104.57899999999999</v>
      </c>
      <c r="L21" s="394">
        <v>105.777</v>
      </c>
      <c r="M21" s="394">
        <v>106.937</v>
      </c>
      <c r="N21" s="393">
        <v>111.006</v>
      </c>
      <c r="O21" s="393">
        <v>118.55433333333333</v>
      </c>
      <c r="P21" s="393">
        <v>120.506</v>
      </c>
      <c r="Q21" s="393">
        <v>116.13533333333334</v>
      </c>
      <c r="R21" s="393">
        <v>118.465</v>
      </c>
      <c r="S21" s="393">
        <v>120.92100000000001</v>
      </c>
      <c r="T21" s="393">
        <v>123.426</v>
      </c>
      <c r="U21" s="392"/>
      <c r="V21" s="392"/>
    </row>
    <row r="22" spans="1:22" ht="16.5" customHeight="1" x14ac:dyDescent="0.2">
      <c r="A22" s="88" t="s">
        <v>433</v>
      </c>
      <c r="B22" s="799" t="s">
        <v>975</v>
      </c>
      <c r="C22" s="76" t="s">
        <v>42</v>
      </c>
      <c r="D22" s="80" t="s">
        <v>392</v>
      </c>
      <c r="E22" s="77" t="s">
        <v>434</v>
      </c>
      <c r="F22" s="393">
        <v>0.1</v>
      </c>
      <c r="G22" s="394">
        <v>4.4999999999999998E-2</v>
      </c>
      <c r="H22" s="394">
        <v>0.02</v>
      </c>
      <c r="I22" s="394">
        <v>1.2999999999999999E-2</v>
      </c>
      <c r="J22" s="394">
        <v>1.2E-2</v>
      </c>
      <c r="K22" s="394">
        <v>7.0000000000000001E-3</v>
      </c>
      <c r="L22" s="394">
        <v>4.0000000000000001E-3</v>
      </c>
      <c r="M22" s="394">
        <v>-6.0000000000000001E-3</v>
      </c>
      <c r="N22" s="393">
        <v>4.0000000000000001E-3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>
        <v>0</v>
      </c>
      <c r="U22" s="392"/>
      <c r="V22" s="392"/>
    </row>
    <row r="23" spans="1:22" s="381" customFormat="1" ht="16.5" customHeight="1" x14ac:dyDescent="0.2">
      <c r="A23" s="89" t="s">
        <v>43</v>
      </c>
      <c r="B23" s="800" t="s">
        <v>1507</v>
      </c>
      <c r="C23" s="73" t="s">
        <v>44</v>
      </c>
      <c r="D23" s="90" t="s">
        <v>392</v>
      </c>
      <c r="E23" s="91" t="s">
        <v>435</v>
      </c>
      <c r="F23" s="391">
        <f>F24+F28</f>
        <v>8081.1660000000002</v>
      </c>
      <c r="G23" s="391">
        <f t="shared" ref="G23:M23" si="3">G24+G28</f>
        <v>8042.8820000000005</v>
      </c>
      <c r="H23" s="391">
        <f t="shared" si="3"/>
        <v>8323.8810000000012</v>
      </c>
      <c r="I23" s="391">
        <f t="shared" si="3"/>
        <v>8721.9049999999988</v>
      </c>
      <c r="J23" s="391">
        <f t="shared" si="3"/>
        <v>9107.7000000000007</v>
      </c>
      <c r="K23" s="391">
        <f t="shared" si="3"/>
        <v>10006.788</v>
      </c>
      <c r="L23" s="391">
        <f t="shared" si="3"/>
        <v>10360.110999999999</v>
      </c>
      <c r="M23" s="391">
        <f t="shared" si="3"/>
        <v>11042.304000000002</v>
      </c>
      <c r="N23" s="391">
        <f t="shared" ref="N23:P23" si="4">N24+N28</f>
        <v>11617.093000000001</v>
      </c>
      <c r="O23" s="391">
        <f t="shared" si="4"/>
        <v>12532.745000000001</v>
      </c>
      <c r="P23" s="391">
        <f t="shared" si="4"/>
        <v>13107.877</v>
      </c>
      <c r="Q23" s="391">
        <v>13507.873000000001</v>
      </c>
      <c r="R23" s="391">
        <v>13998.315000000001</v>
      </c>
      <c r="S23" s="391">
        <v>14615.514000000001</v>
      </c>
      <c r="T23" s="391">
        <v>15211.682000000001</v>
      </c>
      <c r="U23" s="392"/>
      <c r="V23" s="392"/>
    </row>
    <row r="24" spans="1:22" ht="15.75" customHeight="1" x14ac:dyDescent="0.2">
      <c r="A24" s="75" t="s">
        <v>436</v>
      </c>
      <c r="B24" s="792" t="s">
        <v>1522</v>
      </c>
      <c r="C24" s="76" t="s">
        <v>437</v>
      </c>
      <c r="D24" s="80" t="s">
        <v>401</v>
      </c>
      <c r="E24" s="80" t="s">
        <v>438</v>
      </c>
      <c r="F24" s="393">
        <f t="shared" ref="F24:M24" si="5">F25+F26+F27</f>
        <v>7994.9760000000006</v>
      </c>
      <c r="G24" s="393">
        <f t="shared" si="5"/>
        <v>7947.0910000000003</v>
      </c>
      <c r="H24" s="393">
        <f t="shared" si="5"/>
        <v>8185.0930000000008</v>
      </c>
      <c r="I24" s="393">
        <f t="shared" si="5"/>
        <v>8573.57</v>
      </c>
      <c r="J24" s="393">
        <f t="shared" si="5"/>
        <v>8987.6020000000008</v>
      </c>
      <c r="K24" s="393">
        <f t="shared" si="5"/>
        <v>9864.496000000001</v>
      </c>
      <c r="L24" s="393">
        <f t="shared" si="5"/>
        <v>10206.748</v>
      </c>
      <c r="M24" s="393">
        <f t="shared" si="5"/>
        <v>10871.448000000002</v>
      </c>
      <c r="N24" s="393">
        <f>6467.179+4969.279</f>
        <v>11436.458000000001</v>
      </c>
      <c r="O24" s="393">
        <v>12343.509</v>
      </c>
      <c r="P24" s="393">
        <f t="shared" ref="P24" si="6">SUM(P25:P26)</f>
        <v>12941.491</v>
      </c>
      <c r="Q24" s="393">
        <v>13341.487000000001</v>
      </c>
      <c r="R24" s="393">
        <v>13824.348</v>
      </c>
      <c r="S24" s="393">
        <v>14439.025000000001</v>
      </c>
      <c r="T24" s="393">
        <v>15035.435000000001</v>
      </c>
      <c r="U24" s="392"/>
      <c r="V24" s="392"/>
    </row>
    <row r="25" spans="1:22" ht="16.5" customHeight="1" x14ac:dyDescent="0.2">
      <c r="A25" s="87" t="s">
        <v>439</v>
      </c>
      <c r="B25" s="798" t="s">
        <v>1509</v>
      </c>
      <c r="C25" s="79" t="s">
        <v>440</v>
      </c>
      <c r="D25" s="80" t="s">
        <v>401</v>
      </c>
      <c r="E25" s="80" t="s">
        <v>441</v>
      </c>
      <c r="F25" s="393">
        <f>1817.308+2647.291</f>
        <v>4464.5990000000002</v>
      </c>
      <c r="G25" s="393">
        <f>1747.634+2558.815</f>
        <v>4306.4490000000005</v>
      </c>
      <c r="H25" s="393">
        <f>1783.901+2795.29</f>
        <v>4579.1909999999998</v>
      </c>
      <c r="I25" s="393">
        <f>1907.943+2742.951</f>
        <v>4650.8940000000002</v>
      </c>
      <c r="J25" s="393">
        <f>2067.599+2801.073</f>
        <v>4868.6720000000005</v>
      </c>
      <c r="K25" s="393">
        <f>2530.574+3024.958</f>
        <v>5555.5320000000002</v>
      </c>
      <c r="L25" s="393">
        <f>2650.909+3180.657</f>
        <v>5831.5660000000007</v>
      </c>
      <c r="M25" s="393">
        <f>2923.897+3358.847</f>
        <v>6282.7440000000006</v>
      </c>
      <c r="N25" s="393">
        <f>2994.504+3472.675</f>
        <v>6467.1790000000001</v>
      </c>
      <c r="O25" s="393">
        <v>6932.5029999999997</v>
      </c>
      <c r="P25" s="393">
        <v>7300.9409999999998</v>
      </c>
      <c r="Q25" s="393">
        <v>7546.7079333333331</v>
      </c>
      <c r="R25" s="393">
        <v>8017.7269999999999</v>
      </c>
      <c r="S25" s="393">
        <v>8517.2060000000001</v>
      </c>
      <c r="T25" s="393">
        <v>8998.42</v>
      </c>
      <c r="U25" s="392"/>
    </row>
    <row r="26" spans="1:22" ht="16.5" customHeight="1" x14ac:dyDescent="0.2">
      <c r="A26" s="87" t="s">
        <v>442</v>
      </c>
      <c r="B26" s="798" t="s">
        <v>1508</v>
      </c>
      <c r="C26" s="79" t="s">
        <v>443</v>
      </c>
      <c r="D26" s="80" t="s">
        <v>401</v>
      </c>
      <c r="E26" s="80" t="s">
        <v>444</v>
      </c>
      <c r="F26" s="393">
        <v>1982.5840000000001</v>
      </c>
      <c r="G26" s="393">
        <v>1911.952</v>
      </c>
      <c r="H26" s="393">
        <v>2108.2130000000002</v>
      </c>
      <c r="I26" s="393">
        <v>2050.326</v>
      </c>
      <c r="J26" s="393">
        <v>2159.192</v>
      </c>
      <c r="K26" s="393">
        <f>2254.846</f>
        <v>2254.846</v>
      </c>
      <c r="L26" s="393">
        <v>2292.3809999999999</v>
      </c>
      <c r="M26" s="393">
        <v>2477.6559999999999</v>
      </c>
      <c r="N26" s="393">
        <v>2632.7469999999998</v>
      </c>
      <c r="O26" s="393">
        <v>5392.5590000000002</v>
      </c>
      <c r="P26" s="393">
        <v>5640.55</v>
      </c>
      <c r="Q26" s="393">
        <v>5794.7790666666669</v>
      </c>
      <c r="R26" s="393">
        <v>5806.6210000000001</v>
      </c>
      <c r="S26" s="393">
        <v>5921.8190000000004</v>
      </c>
      <c r="T26" s="393">
        <v>6037.0150000000003</v>
      </c>
      <c r="U26" s="392"/>
    </row>
    <row r="27" spans="1:22" ht="16.5" customHeight="1" x14ac:dyDescent="0.2">
      <c r="A27" s="87" t="s">
        <v>445</v>
      </c>
      <c r="B27" s="798" t="s">
        <v>1523</v>
      </c>
      <c r="C27" s="79" t="s">
        <v>446</v>
      </c>
      <c r="D27" s="80" t="s">
        <v>401</v>
      </c>
      <c r="E27" s="80" t="s">
        <v>447</v>
      </c>
      <c r="F27" s="393">
        <f>0.066+1547.727+0</f>
        <v>1547.7930000000001</v>
      </c>
      <c r="G27" s="393">
        <f>0.026+1728.664+0</f>
        <v>1728.69</v>
      </c>
      <c r="H27" s="393">
        <f>0.029+1497.66+0</f>
        <v>1497.6890000000001</v>
      </c>
      <c r="I27" s="393">
        <f>0.014+1872.336+0</f>
        <v>1872.35</v>
      </c>
      <c r="J27" s="393">
        <f>0.108+1959.63+0</f>
        <v>1959.7380000000001</v>
      </c>
      <c r="K27" s="393">
        <f>0.214+2053.904+0</f>
        <v>2054.1179999999999</v>
      </c>
      <c r="L27" s="393">
        <f>0.244+2082.557+0</f>
        <v>2082.8009999999999</v>
      </c>
      <c r="M27" s="393">
        <f>0.295+2110.753</f>
        <v>2111.0480000000002</v>
      </c>
      <c r="N27" s="393">
        <f>14.534+2321.998+0</f>
        <v>2336.5320000000002</v>
      </c>
      <c r="O27" s="393" t="s">
        <v>2</v>
      </c>
      <c r="P27" s="393" t="s">
        <v>2</v>
      </c>
      <c r="Q27" s="393" t="s">
        <v>2</v>
      </c>
      <c r="R27" s="393" t="s">
        <v>2</v>
      </c>
      <c r="S27" s="393" t="s">
        <v>2</v>
      </c>
      <c r="T27" s="393"/>
      <c r="U27" s="392"/>
    </row>
    <row r="28" spans="1:22" ht="16.5" customHeight="1" x14ac:dyDescent="0.2">
      <c r="A28" s="75" t="s">
        <v>448</v>
      </c>
      <c r="B28" s="798" t="s">
        <v>1510</v>
      </c>
      <c r="C28" s="76" t="s">
        <v>449</v>
      </c>
      <c r="D28" s="80" t="s">
        <v>401</v>
      </c>
      <c r="E28" s="80" t="s">
        <v>450</v>
      </c>
      <c r="F28" s="393">
        <v>86.19</v>
      </c>
      <c r="G28" s="393">
        <v>95.790999999999997</v>
      </c>
      <c r="H28" s="393">
        <v>138.78800000000001</v>
      </c>
      <c r="I28" s="393">
        <v>148.33500000000001</v>
      </c>
      <c r="J28" s="393">
        <v>120.098</v>
      </c>
      <c r="K28" s="393">
        <v>142.292</v>
      </c>
      <c r="L28" s="393">
        <v>153.363</v>
      </c>
      <c r="M28" s="393">
        <v>170.85599999999999</v>
      </c>
      <c r="N28" s="393">
        <v>180.63499999999999</v>
      </c>
      <c r="O28" s="393">
        <v>189.23600000000002</v>
      </c>
      <c r="P28" s="393">
        <v>166.386</v>
      </c>
      <c r="Q28" s="393">
        <v>166.386</v>
      </c>
      <c r="R28" s="393">
        <v>173.96700000000001</v>
      </c>
      <c r="S28" s="393">
        <v>176.489</v>
      </c>
      <c r="T28" s="393">
        <v>176.24700000000001</v>
      </c>
      <c r="U28" s="392"/>
    </row>
    <row r="29" spans="1:22" s="399" customFormat="1" ht="16.5" customHeight="1" x14ac:dyDescent="0.2">
      <c r="A29" s="92" t="s">
        <v>451</v>
      </c>
      <c r="B29" s="92" t="s">
        <v>1511</v>
      </c>
      <c r="C29" s="73" t="s">
        <v>395</v>
      </c>
      <c r="D29" s="93" t="s">
        <v>395</v>
      </c>
      <c r="E29" s="93" t="s">
        <v>395</v>
      </c>
      <c r="F29" s="391">
        <f t="shared" ref="F29:P29" si="7">F30+F33</f>
        <v>2557.1579999999999</v>
      </c>
      <c r="G29" s="391">
        <f t="shared" si="7"/>
        <v>2910.665</v>
      </c>
      <c r="H29" s="391">
        <f t="shared" si="7"/>
        <v>2843.1269999999995</v>
      </c>
      <c r="I29" s="391">
        <f t="shared" si="7"/>
        <v>3189.625</v>
      </c>
      <c r="J29" s="391">
        <f t="shared" si="7"/>
        <v>3755.8669999999997</v>
      </c>
      <c r="K29" s="391">
        <f t="shared" si="7"/>
        <v>3902.5699999999997</v>
      </c>
      <c r="L29" s="391">
        <f t="shared" si="7"/>
        <v>3842.3780000000002</v>
      </c>
      <c r="M29" s="391">
        <f t="shared" si="7"/>
        <v>4115.6170000000002</v>
      </c>
      <c r="N29" s="391">
        <f t="shared" si="7"/>
        <v>4156.9880000000003</v>
      </c>
      <c r="O29" s="391">
        <f t="shared" si="7"/>
        <v>4288.5720000000001</v>
      </c>
      <c r="P29" s="391">
        <f t="shared" si="7"/>
        <v>4161.8379999999997</v>
      </c>
      <c r="Q29" s="391">
        <v>3941.181</v>
      </c>
      <c r="R29" s="391">
        <v>4182.0230000000001</v>
      </c>
      <c r="S29" s="391">
        <v>4330.7740000000003</v>
      </c>
      <c r="T29" s="391">
        <v>4422.5869999999995</v>
      </c>
      <c r="U29" s="392"/>
    </row>
    <row r="30" spans="1:22" ht="16.5" customHeight="1" x14ac:dyDescent="0.2">
      <c r="A30" s="88" t="s">
        <v>452</v>
      </c>
      <c r="B30" s="799" t="s">
        <v>1512</v>
      </c>
      <c r="C30" s="76" t="s">
        <v>453</v>
      </c>
      <c r="D30" s="94" t="s">
        <v>395</v>
      </c>
      <c r="E30" s="94" t="s">
        <v>395</v>
      </c>
      <c r="F30" s="394">
        <f>F31+F32</f>
        <v>1705.797</v>
      </c>
      <c r="G30" s="394">
        <f t="shared" ref="G30:P30" si="8">G31+G32</f>
        <v>2050.0650000000001</v>
      </c>
      <c r="H30" s="394">
        <f t="shared" si="8"/>
        <v>2201.9249999999997</v>
      </c>
      <c r="I30" s="394">
        <f t="shared" si="8"/>
        <v>2526.605</v>
      </c>
      <c r="J30" s="394">
        <f t="shared" si="8"/>
        <v>2929.5279999999998</v>
      </c>
      <c r="K30" s="394">
        <f t="shared" si="8"/>
        <v>3233.4449999999997</v>
      </c>
      <c r="L30" s="394">
        <f t="shared" si="8"/>
        <v>3290.152</v>
      </c>
      <c r="M30" s="394">
        <f t="shared" si="8"/>
        <v>3482.3019999999997</v>
      </c>
      <c r="N30" s="394">
        <f t="shared" si="8"/>
        <v>3551.1559999999999</v>
      </c>
      <c r="O30" s="394">
        <f t="shared" si="8"/>
        <v>3647.26</v>
      </c>
      <c r="P30" s="394">
        <f t="shared" si="8"/>
        <v>3600.5410000000002</v>
      </c>
      <c r="Q30" s="394">
        <v>3514.8629999999998</v>
      </c>
      <c r="R30" s="394">
        <v>3596.7959999999998</v>
      </c>
      <c r="S30" s="394">
        <v>3746.6680000000001</v>
      </c>
      <c r="T30" s="394">
        <v>3826.0629999999996</v>
      </c>
      <c r="U30" s="392"/>
    </row>
    <row r="31" spans="1:22" ht="16.5" customHeight="1" x14ac:dyDescent="0.2">
      <c r="A31" s="87" t="s">
        <v>454</v>
      </c>
      <c r="B31" s="798" t="s">
        <v>1513</v>
      </c>
      <c r="C31" s="76" t="s">
        <v>305</v>
      </c>
      <c r="D31" s="77" t="s">
        <v>455</v>
      </c>
      <c r="E31" s="77" t="s">
        <v>455</v>
      </c>
      <c r="F31" s="393">
        <v>1586.164</v>
      </c>
      <c r="G31" s="394">
        <v>1932.933</v>
      </c>
      <c r="H31" s="394">
        <v>2082.9319999999998</v>
      </c>
      <c r="I31" s="394">
        <v>2401.89</v>
      </c>
      <c r="J31" s="393">
        <v>2768.491</v>
      </c>
      <c r="K31" s="393">
        <v>3069.4859999999999</v>
      </c>
      <c r="L31" s="393">
        <v>3126.9369999999999</v>
      </c>
      <c r="M31" s="394">
        <v>3336.1329999999998</v>
      </c>
      <c r="N31" s="394">
        <v>3406.9650000000001</v>
      </c>
      <c r="O31" s="394">
        <v>3479.8130000000001</v>
      </c>
      <c r="P31" s="394">
        <f>3565.089</f>
        <v>3565.0889999999999</v>
      </c>
      <c r="Q31" s="394">
        <v>3383.8719999999998</v>
      </c>
      <c r="R31" s="394">
        <v>3457.8789999999999</v>
      </c>
      <c r="S31" s="394">
        <v>3603.7220000000002</v>
      </c>
      <c r="T31" s="394">
        <v>3676.0859999999998</v>
      </c>
      <c r="U31" s="392"/>
    </row>
    <row r="32" spans="1:22" ht="16.5" customHeight="1" x14ac:dyDescent="0.2">
      <c r="A32" s="87" t="s">
        <v>456</v>
      </c>
      <c r="B32" s="798" t="s">
        <v>1514</v>
      </c>
      <c r="C32" s="76" t="s">
        <v>457</v>
      </c>
      <c r="D32" s="94" t="s">
        <v>392</v>
      </c>
      <c r="E32" s="94" t="s">
        <v>458</v>
      </c>
      <c r="F32" s="394">
        <v>119.633</v>
      </c>
      <c r="G32" s="398">
        <v>117.13200000000001</v>
      </c>
      <c r="H32" s="398">
        <v>118.99299999999999</v>
      </c>
      <c r="I32" s="398">
        <v>124.715</v>
      </c>
      <c r="J32" s="397">
        <v>161.03700000000001</v>
      </c>
      <c r="K32" s="393">
        <v>163.959</v>
      </c>
      <c r="L32" s="394">
        <v>163.215</v>
      </c>
      <c r="M32" s="394">
        <v>146.16900000000001</v>
      </c>
      <c r="N32" s="394">
        <v>144.191</v>
      </c>
      <c r="O32" s="394">
        <v>167.447</v>
      </c>
      <c r="P32" s="394">
        <v>35.451999999999998</v>
      </c>
      <c r="Q32" s="394">
        <v>130.99099999999999</v>
      </c>
      <c r="R32" s="394">
        <v>138.917</v>
      </c>
      <c r="S32" s="394">
        <v>142.946</v>
      </c>
      <c r="T32" s="394">
        <v>149.977</v>
      </c>
      <c r="U32" s="392"/>
    </row>
    <row r="33" spans="1:21" ht="16.5" customHeight="1" x14ac:dyDescent="0.2">
      <c r="A33" s="75" t="s">
        <v>459</v>
      </c>
      <c r="B33" s="792" t="s">
        <v>1515</v>
      </c>
      <c r="C33" s="76" t="s">
        <v>460</v>
      </c>
      <c r="D33" s="77" t="s">
        <v>392</v>
      </c>
      <c r="E33" s="77" t="s">
        <v>461</v>
      </c>
      <c r="F33" s="394">
        <v>851.36099999999999</v>
      </c>
      <c r="G33" s="398">
        <v>860.6</v>
      </c>
      <c r="H33" s="398">
        <v>641.202</v>
      </c>
      <c r="I33" s="398">
        <v>663.02</v>
      </c>
      <c r="J33" s="397">
        <v>826.33900000000006</v>
      </c>
      <c r="K33" s="393">
        <v>669.125</v>
      </c>
      <c r="L33" s="394">
        <v>552.226</v>
      </c>
      <c r="M33" s="394">
        <v>633.31500000000005</v>
      </c>
      <c r="N33" s="394">
        <v>605.83199999999999</v>
      </c>
      <c r="O33" s="394">
        <v>641.31200000000001</v>
      </c>
      <c r="P33" s="394">
        <v>561.29700000000003</v>
      </c>
      <c r="Q33" s="394">
        <v>426.3180000000001</v>
      </c>
      <c r="R33" s="394">
        <v>585.22699999999998</v>
      </c>
      <c r="S33" s="394">
        <v>584.10599999999999</v>
      </c>
      <c r="T33" s="394">
        <v>596.524</v>
      </c>
      <c r="U33" s="392"/>
    </row>
    <row r="34" spans="1:21" ht="16.5" customHeight="1" x14ac:dyDescent="0.2">
      <c r="A34" s="87" t="s">
        <v>462</v>
      </c>
      <c r="B34" s="798" t="s">
        <v>1516</v>
      </c>
      <c r="C34" s="95" t="s">
        <v>463</v>
      </c>
      <c r="D34" s="77" t="s">
        <v>464</v>
      </c>
      <c r="E34" s="77" t="s">
        <v>465</v>
      </c>
      <c r="F34" s="393">
        <v>506.34</v>
      </c>
      <c r="G34" s="398">
        <v>590.29999999999995</v>
      </c>
      <c r="H34" s="398">
        <v>445.36599999999999</v>
      </c>
      <c r="I34" s="398">
        <v>476.6</v>
      </c>
      <c r="J34" s="398">
        <v>634.42200000000003</v>
      </c>
      <c r="K34" s="394">
        <v>460.00900000000001</v>
      </c>
      <c r="L34" s="394">
        <f>396.975-396.975+304.096</f>
        <v>304.096</v>
      </c>
      <c r="M34" s="394">
        <f>444.674-444.674+349.759</f>
        <v>349.75900000000001</v>
      </c>
      <c r="N34" s="394">
        <v>323.11700000000002</v>
      </c>
      <c r="O34" s="394">
        <v>391.39800000000002</v>
      </c>
      <c r="P34" s="394">
        <v>475.04199999999997</v>
      </c>
      <c r="Q34" s="394">
        <v>330.84699999999998</v>
      </c>
      <c r="R34" s="394">
        <v>498.49900000000002</v>
      </c>
      <c r="S34" s="394">
        <v>495.19600000000003</v>
      </c>
      <c r="T34" s="394">
        <v>494.79199999999997</v>
      </c>
      <c r="U34" s="392"/>
    </row>
    <row r="35" spans="1:21" ht="16.5" customHeight="1" x14ac:dyDescent="0.2">
      <c r="A35" s="87" t="s">
        <v>466</v>
      </c>
      <c r="B35" s="798" t="s">
        <v>1517</v>
      </c>
      <c r="C35" s="95" t="s">
        <v>467</v>
      </c>
      <c r="D35" s="77" t="s">
        <v>468</v>
      </c>
      <c r="E35" s="77" t="s">
        <v>469</v>
      </c>
      <c r="F35" s="394">
        <v>293.72500000000002</v>
      </c>
      <c r="G35" s="398">
        <v>225.732</v>
      </c>
      <c r="H35" s="398">
        <v>120.059</v>
      </c>
      <c r="I35" s="398">
        <v>137.69900000000001</v>
      </c>
      <c r="J35" s="398">
        <v>143.86600000000001</v>
      </c>
      <c r="K35" s="394">
        <v>155.85499999999999</v>
      </c>
      <c r="L35" s="394">
        <v>191.41</v>
      </c>
      <c r="M35" s="394">
        <v>227.065</v>
      </c>
      <c r="N35" s="394">
        <v>226.292</v>
      </c>
      <c r="O35" s="394">
        <v>190.25399999999999</v>
      </c>
      <c r="P35" s="394">
        <v>37.524999999999999</v>
      </c>
      <c r="Q35" s="394">
        <v>37.546999999999997</v>
      </c>
      <c r="R35" s="394">
        <v>37.276000000000003</v>
      </c>
      <c r="S35" s="394">
        <v>39.47</v>
      </c>
      <c r="T35" s="394">
        <v>50.572000000000003</v>
      </c>
      <c r="U35" s="392"/>
    </row>
    <row r="36" spans="1:21" s="399" customFormat="1" ht="16.5" customHeight="1" x14ac:dyDescent="0.2">
      <c r="A36" s="89" t="s">
        <v>302</v>
      </c>
      <c r="B36" s="800" t="s">
        <v>1322</v>
      </c>
      <c r="C36" s="73" t="s">
        <v>470</v>
      </c>
      <c r="D36" s="93" t="s">
        <v>395</v>
      </c>
      <c r="E36" s="93" t="s">
        <v>395</v>
      </c>
      <c r="F36" s="391">
        <f t="shared" ref="F36:P36" si="9">F38+F39+F40</f>
        <v>1318.019</v>
      </c>
      <c r="G36" s="391">
        <f t="shared" si="9"/>
        <v>1905.3870000000002</v>
      </c>
      <c r="H36" s="391">
        <f t="shared" si="9"/>
        <v>1664.1469999999999</v>
      </c>
      <c r="I36" s="391">
        <f t="shared" si="9"/>
        <v>2464.5929999999998</v>
      </c>
      <c r="J36" s="391">
        <f t="shared" si="9"/>
        <v>2125.9639999999999</v>
      </c>
      <c r="K36" s="391">
        <f t="shared" si="9"/>
        <v>2462.9769999999999</v>
      </c>
      <c r="L36" s="391">
        <f t="shared" si="9"/>
        <v>2472.913</v>
      </c>
      <c r="M36" s="391">
        <f t="shared" si="9"/>
        <v>4196.8640000000005</v>
      </c>
      <c r="N36" s="391">
        <f t="shared" si="9"/>
        <v>1516.7139999999999</v>
      </c>
      <c r="O36" s="391">
        <f t="shared" si="9"/>
        <v>1141.297</v>
      </c>
      <c r="P36" s="391">
        <f t="shared" si="9"/>
        <v>939.38400000000001</v>
      </c>
      <c r="Q36" s="391">
        <v>1323.1869999999999</v>
      </c>
      <c r="R36" s="391">
        <v>1198.7190000000001</v>
      </c>
      <c r="S36" s="391">
        <v>2064.4759999999997</v>
      </c>
      <c r="T36" s="391">
        <v>2030.6860000000001</v>
      </c>
      <c r="U36" s="392"/>
    </row>
    <row r="37" spans="1:21" ht="16.5" customHeight="1" x14ac:dyDescent="0.2">
      <c r="A37" s="96" t="s">
        <v>471</v>
      </c>
      <c r="B37" s="801" t="s">
        <v>1518</v>
      </c>
      <c r="C37" s="97" t="s">
        <v>472</v>
      </c>
      <c r="D37" s="98" t="s">
        <v>473</v>
      </c>
      <c r="E37" s="98" t="s">
        <v>473</v>
      </c>
      <c r="F37" s="394">
        <f>863.316-664.004+(82.62)</f>
        <v>281.93200000000002</v>
      </c>
      <c r="G37" s="394">
        <f>1111.48-809.95+(-7.137)</f>
        <v>294.39299999999997</v>
      </c>
      <c r="H37" s="394">
        <f>1663.755-1239.247+(225.936)</f>
        <v>650.44400000000007</v>
      </c>
      <c r="I37" s="394">
        <f>2031.344-1297.937+(60.035)</f>
        <v>793.44200000000012</v>
      </c>
      <c r="J37" s="393">
        <f>2127.345-1208.845+(-113.094)</f>
        <v>805.40599999999972</v>
      </c>
      <c r="K37" s="393">
        <f>2174.997-1218.111+(-148.212)</f>
        <v>808.67399999999975</v>
      </c>
      <c r="L37" s="393">
        <f>1257.505-818.843+(756.009)</f>
        <v>1194.6710000000003</v>
      </c>
      <c r="M37" s="394">
        <v>2986.181</v>
      </c>
      <c r="N37" s="394">
        <f>(0.877+2589.767)-956.938-209.81</f>
        <v>1423.8959999999997</v>
      </c>
      <c r="O37" s="394">
        <v>661.40300000000002</v>
      </c>
      <c r="P37" s="394">
        <v>346.04300000000001</v>
      </c>
      <c r="Q37" s="394">
        <v>671.00599999999997</v>
      </c>
      <c r="R37" s="394">
        <v>298.27499999999998</v>
      </c>
      <c r="S37" s="394">
        <v>1269.7180000000001</v>
      </c>
      <c r="T37" s="394">
        <v>1248.5139999999999</v>
      </c>
      <c r="U37" s="392"/>
    </row>
    <row r="38" spans="1:21" ht="16.5" customHeight="1" x14ac:dyDescent="0.2">
      <c r="A38" s="88" t="s">
        <v>474</v>
      </c>
      <c r="B38" s="799" t="s">
        <v>1519</v>
      </c>
      <c r="C38" s="76" t="s">
        <v>475</v>
      </c>
      <c r="D38" s="94" t="s">
        <v>392</v>
      </c>
      <c r="E38" s="94" t="s">
        <v>476</v>
      </c>
      <c r="F38" s="394">
        <v>0</v>
      </c>
      <c r="G38" s="394">
        <v>0</v>
      </c>
      <c r="H38" s="394">
        <v>0</v>
      </c>
      <c r="I38" s="394">
        <v>0</v>
      </c>
      <c r="J38" s="393">
        <v>0</v>
      </c>
      <c r="K38" s="393">
        <v>0</v>
      </c>
      <c r="L38" s="393">
        <v>0</v>
      </c>
      <c r="M38" s="394">
        <v>0</v>
      </c>
      <c r="N38" s="394">
        <v>0</v>
      </c>
      <c r="O38" s="394">
        <v>0</v>
      </c>
      <c r="P38" s="394">
        <v>0</v>
      </c>
      <c r="Q38" s="394"/>
      <c r="R38" s="394"/>
      <c r="S38" s="394"/>
      <c r="T38" s="394"/>
      <c r="U38" s="392"/>
    </row>
    <row r="39" spans="1:21" ht="16.5" customHeight="1" x14ac:dyDescent="0.2">
      <c r="A39" s="75" t="s">
        <v>379</v>
      </c>
      <c r="B39" s="792" t="s">
        <v>1520</v>
      </c>
      <c r="C39" s="76" t="s">
        <v>477</v>
      </c>
      <c r="D39" s="77" t="s">
        <v>392</v>
      </c>
      <c r="E39" s="77" t="s">
        <v>478</v>
      </c>
      <c r="F39" s="393">
        <v>1155.759</v>
      </c>
      <c r="G39" s="393">
        <v>1274.8440000000001</v>
      </c>
      <c r="H39" s="394">
        <v>1027.778</v>
      </c>
      <c r="I39" s="394">
        <v>1583.7190000000001</v>
      </c>
      <c r="J39" s="393">
        <v>1347.222</v>
      </c>
      <c r="K39" s="393">
        <v>1477.7139999999999</v>
      </c>
      <c r="L39" s="393">
        <f>1438.031-1438.031+1510.906</f>
        <v>1510.9059999999999</v>
      </c>
      <c r="M39" s="394">
        <v>2281.0830000000001</v>
      </c>
      <c r="N39" s="394">
        <v>988.23500000000001</v>
      </c>
      <c r="O39" s="394">
        <v>841.89800000000002</v>
      </c>
      <c r="P39" s="394">
        <v>905.57100000000003</v>
      </c>
      <c r="Q39" s="394">
        <v>1292.9580000000001</v>
      </c>
      <c r="R39" s="394">
        <v>1092.1320000000001</v>
      </c>
      <c r="S39" s="394">
        <v>1917.2639999999999</v>
      </c>
      <c r="T39" s="394">
        <v>1884.162</v>
      </c>
      <c r="U39" s="392"/>
    </row>
    <row r="40" spans="1:21" ht="16.5" customHeight="1" x14ac:dyDescent="0.2">
      <c r="A40" s="99" t="s">
        <v>58</v>
      </c>
      <c r="B40" s="802" t="s">
        <v>1521</v>
      </c>
      <c r="C40" s="100" t="s">
        <v>479</v>
      </c>
      <c r="D40" s="77" t="s">
        <v>392</v>
      </c>
      <c r="E40" s="77" t="s">
        <v>480</v>
      </c>
      <c r="F40" s="394">
        <f>162.36-F22</f>
        <v>162.26000000000002</v>
      </c>
      <c r="G40" s="394">
        <f>630.588-G22</f>
        <v>630.54300000000001</v>
      </c>
      <c r="H40" s="394">
        <v>636.36900000000003</v>
      </c>
      <c r="I40" s="394">
        <f>880.887-I22</f>
        <v>880.87399999999991</v>
      </c>
      <c r="J40" s="393">
        <f>778.754-J22</f>
        <v>778.74200000000008</v>
      </c>
      <c r="K40" s="393">
        <f>985.27-K22</f>
        <v>985.26300000000003</v>
      </c>
      <c r="L40" s="393">
        <f>962.011-L22</f>
        <v>962.00699999999995</v>
      </c>
      <c r="M40" s="394">
        <v>1915.7810000000002</v>
      </c>
      <c r="N40" s="394">
        <v>528.47899999999993</v>
      </c>
      <c r="O40" s="394">
        <v>299.399</v>
      </c>
      <c r="P40" s="394">
        <v>33.813000000000002</v>
      </c>
      <c r="Q40" s="394">
        <v>30.228999999999928</v>
      </c>
      <c r="R40" s="394">
        <v>106.587</v>
      </c>
      <c r="S40" s="394">
        <v>147.21199999999999</v>
      </c>
      <c r="T40" s="394">
        <v>146.524</v>
      </c>
      <c r="U40" s="392"/>
    </row>
    <row r="41" spans="1:21" ht="16.5" customHeight="1" x14ac:dyDescent="0.2">
      <c r="A41" s="89"/>
      <c r="B41" s="800"/>
      <c r="C41" s="73" t="s">
        <v>470</v>
      </c>
      <c r="D41" s="93" t="s">
        <v>395</v>
      </c>
      <c r="E41" s="93" t="s">
        <v>395</v>
      </c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2"/>
    </row>
    <row r="42" spans="1:21" ht="16.5" customHeight="1" x14ac:dyDescent="0.2">
      <c r="A42" s="66" t="s">
        <v>47</v>
      </c>
      <c r="B42" s="66" t="s">
        <v>1524</v>
      </c>
      <c r="C42" s="67" t="s">
        <v>33</v>
      </c>
      <c r="D42" s="67" t="s">
        <v>392</v>
      </c>
      <c r="E42" s="67" t="s">
        <v>392</v>
      </c>
      <c r="F42" s="400">
        <f>F44+F81</f>
        <v>25299.29</v>
      </c>
      <c r="G42" s="400">
        <f t="shared" ref="G42:L42" si="10">G44+G81</f>
        <v>28224.154999999999</v>
      </c>
      <c r="H42" s="400">
        <f t="shared" si="10"/>
        <v>28480.449000000001</v>
      </c>
      <c r="I42" s="400">
        <f t="shared" si="10"/>
        <v>28827.822</v>
      </c>
      <c r="J42" s="400">
        <f t="shared" si="10"/>
        <v>29539.480999999996</v>
      </c>
      <c r="K42" s="400">
        <f t="shared" si="10"/>
        <v>30736.550999999996</v>
      </c>
      <c r="L42" s="400">
        <f t="shared" si="10"/>
        <v>31983.491000000002</v>
      </c>
      <c r="M42" s="400">
        <v>35683.800000000003</v>
      </c>
      <c r="N42" s="400">
        <v>33668.57</v>
      </c>
      <c r="O42" s="101">
        <v>34103.11</v>
      </c>
      <c r="P42" s="102">
        <v>35175.08</v>
      </c>
      <c r="Q42" s="102">
        <v>35931.019999999997</v>
      </c>
      <c r="R42" s="101">
        <v>37258.230000000003</v>
      </c>
      <c r="S42" s="102">
        <v>39744.769999999997</v>
      </c>
      <c r="T42" s="102">
        <v>40858.269999999997</v>
      </c>
      <c r="U42" s="392"/>
    </row>
    <row r="43" spans="1:21" ht="16.5" customHeight="1" x14ac:dyDescent="0.2">
      <c r="A43" s="68" t="s">
        <v>4</v>
      </c>
      <c r="B43" s="68" t="s">
        <v>1492</v>
      </c>
      <c r="C43" s="69"/>
      <c r="D43" s="103"/>
      <c r="E43" s="103"/>
      <c r="F43" s="104">
        <f t="shared" ref="F43:L43" si="11">F42/F90</f>
        <v>0.37029196774956252</v>
      </c>
      <c r="G43" s="104">
        <f t="shared" si="11"/>
        <v>0.44225659939856005</v>
      </c>
      <c r="H43" s="104">
        <f t="shared" si="11"/>
        <v>0.4214500143894499</v>
      </c>
      <c r="I43" s="104">
        <f t="shared" si="11"/>
        <v>0.40816880690663038</v>
      </c>
      <c r="J43" s="104">
        <f t="shared" si="11"/>
        <v>0.40630060063259932</v>
      </c>
      <c r="K43" s="104">
        <f t="shared" si="11"/>
        <v>0.41440749130040971</v>
      </c>
      <c r="L43" s="104">
        <f t="shared" si="11"/>
        <v>0.42034985403505415</v>
      </c>
      <c r="M43" s="104">
        <v>0.45090000000000002</v>
      </c>
      <c r="N43" s="104">
        <v>0.41449999999999998</v>
      </c>
      <c r="O43" s="104">
        <v>0.40189999999999998</v>
      </c>
      <c r="P43" s="104">
        <v>0.39300000000000002</v>
      </c>
      <c r="Q43" s="104">
        <v>0.39779999999999999</v>
      </c>
      <c r="R43" s="104">
        <v>0.3851</v>
      </c>
      <c r="S43" s="104">
        <v>0.38579999999999998</v>
      </c>
      <c r="T43" s="104">
        <v>0.3745</v>
      </c>
      <c r="U43" s="392"/>
    </row>
    <row r="44" spans="1:21" s="381" customFormat="1" ht="16.5" customHeight="1" x14ac:dyDescent="0.2">
      <c r="A44" s="105" t="s">
        <v>481</v>
      </c>
      <c r="B44" s="803" t="s">
        <v>1525</v>
      </c>
      <c r="C44" s="73" t="s">
        <v>395</v>
      </c>
      <c r="D44" s="74" t="s">
        <v>395</v>
      </c>
      <c r="E44" s="74" t="s">
        <v>395</v>
      </c>
      <c r="F44" s="391">
        <f>F45+F48+F49+F52+F58+F61+F78</f>
        <v>22436.556</v>
      </c>
      <c r="G44" s="391">
        <f t="shared" ref="G44:L44" si="12">G45+G48+G49+G52+G58+G61+G78</f>
        <v>24547.108</v>
      </c>
      <c r="H44" s="391">
        <f t="shared" si="12"/>
        <v>25435.564000000002</v>
      </c>
      <c r="I44" s="391">
        <f t="shared" si="12"/>
        <v>25656.080999999998</v>
      </c>
      <c r="J44" s="391">
        <f t="shared" si="12"/>
        <v>26646.898999999998</v>
      </c>
      <c r="K44" s="391">
        <f t="shared" si="12"/>
        <v>27803.979999999996</v>
      </c>
      <c r="L44" s="391">
        <f t="shared" si="12"/>
        <v>28756.422000000002</v>
      </c>
      <c r="M44" s="391">
        <v>30068.81</v>
      </c>
      <c r="N44" s="391">
        <v>30518.65</v>
      </c>
      <c r="O44" s="391">
        <v>31170.16</v>
      </c>
      <c r="P44" s="391">
        <v>32807.440000000002</v>
      </c>
      <c r="Q44" s="391">
        <v>32637.64</v>
      </c>
      <c r="R44" s="391">
        <v>34768.239999999998</v>
      </c>
      <c r="S44" s="391">
        <v>36889.21</v>
      </c>
      <c r="T44" s="391">
        <v>37558.06</v>
      </c>
      <c r="U44" s="392"/>
    </row>
    <row r="45" spans="1:21" s="399" customFormat="1" ht="16.5" customHeight="1" x14ac:dyDescent="0.2">
      <c r="A45" s="106" t="s">
        <v>48</v>
      </c>
      <c r="B45" s="804" t="s">
        <v>1526</v>
      </c>
      <c r="C45" s="107" t="s">
        <v>296</v>
      </c>
      <c r="D45" s="77" t="s">
        <v>392</v>
      </c>
      <c r="E45" s="77" t="s">
        <v>482</v>
      </c>
      <c r="F45" s="394">
        <v>5123.9579999999996</v>
      </c>
      <c r="G45" s="394">
        <v>5479.2550000000001</v>
      </c>
      <c r="H45" s="394">
        <v>5716.1260000000002</v>
      </c>
      <c r="I45" s="394">
        <v>5845.6589999999997</v>
      </c>
      <c r="J45" s="393">
        <v>5991.2939999999999</v>
      </c>
      <c r="K45" s="393">
        <v>6356.049</v>
      </c>
      <c r="L45" s="393">
        <v>6693.7380000000003</v>
      </c>
      <c r="M45" s="394">
        <v>7049.86</v>
      </c>
      <c r="N45" s="394">
        <v>7400.51</v>
      </c>
      <c r="O45" s="394">
        <v>7803.57</v>
      </c>
      <c r="P45" s="394">
        <v>8105.23</v>
      </c>
      <c r="Q45" s="394">
        <v>8225.74</v>
      </c>
      <c r="R45" s="394">
        <v>8900.09</v>
      </c>
      <c r="S45" s="394">
        <v>9773.31</v>
      </c>
      <c r="T45" s="394">
        <v>10093.24</v>
      </c>
      <c r="U45" s="392"/>
    </row>
    <row r="46" spans="1:21" s="399" customFormat="1" ht="16.5" customHeight="1" x14ac:dyDescent="0.2">
      <c r="A46" s="87" t="s">
        <v>377</v>
      </c>
      <c r="B46" s="798" t="s">
        <v>1527</v>
      </c>
      <c r="C46" s="79" t="s">
        <v>483</v>
      </c>
      <c r="D46" s="77" t="s">
        <v>468</v>
      </c>
      <c r="E46" s="77" t="s">
        <v>484</v>
      </c>
      <c r="F46" s="393">
        <v>3882.7379999999998</v>
      </c>
      <c r="G46" s="393">
        <v>4068.3440000000001</v>
      </c>
      <c r="H46" s="393">
        <v>4241.7030000000004</v>
      </c>
      <c r="I46" s="393">
        <v>4259.3040000000001</v>
      </c>
      <c r="J46" s="393">
        <v>4439.4539999999997</v>
      </c>
      <c r="K46" s="393">
        <v>4666.4269999999997</v>
      </c>
      <c r="L46" s="393">
        <v>4894.2</v>
      </c>
      <c r="M46" s="393">
        <v>5141.58</v>
      </c>
      <c r="N46" s="393">
        <v>5412.21</v>
      </c>
      <c r="O46" s="393">
        <v>5706.86</v>
      </c>
      <c r="P46" s="393">
        <v>5932.96</v>
      </c>
      <c r="Q46" s="393">
        <v>5994.59</v>
      </c>
      <c r="R46" s="393">
        <v>6498.85</v>
      </c>
      <c r="S46" s="393">
        <v>7155.25</v>
      </c>
      <c r="T46" s="393">
        <v>7393.23</v>
      </c>
      <c r="U46" s="392"/>
    </row>
    <row r="47" spans="1:21" s="399" customFormat="1" ht="16.5" customHeight="1" x14ac:dyDescent="0.2">
      <c r="A47" s="87" t="s">
        <v>378</v>
      </c>
      <c r="B47" s="798" t="s">
        <v>1528</v>
      </c>
      <c r="C47" s="79" t="s">
        <v>485</v>
      </c>
      <c r="D47" s="77" t="s">
        <v>468</v>
      </c>
      <c r="E47" s="77" t="s">
        <v>486</v>
      </c>
      <c r="F47" s="393">
        <v>1241.22</v>
      </c>
      <c r="G47" s="393">
        <v>1410.9110000000001</v>
      </c>
      <c r="H47" s="393">
        <v>1474.423</v>
      </c>
      <c r="I47" s="393">
        <v>1586.355</v>
      </c>
      <c r="J47" s="393">
        <v>1551.84</v>
      </c>
      <c r="K47" s="393">
        <v>1689.6220000000001</v>
      </c>
      <c r="L47" s="393">
        <v>1799.538</v>
      </c>
      <c r="M47" s="393">
        <v>1907.92</v>
      </c>
      <c r="N47" s="393">
        <v>1987.93</v>
      </c>
      <c r="O47" s="393">
        <v>2096.7199999999998</v>
      </c>
      <c r="P47" s="393">
        <v>2172.27</v>
      </c>
      <c r="Q47" s="393">
        <v>2231.15</v>
      </c>
      <c r="R47" s="393">
        <v>2401.2399999999998</v>
      </c>
      <c r="S47" s="393">
        <v>2618.06</v>
      </c>
      <c r="T47" s="393">
        <v>2700.02</v>
      </c>
      <c r="U47" s="392"/>
    </row>
    <row r="48" spans="1:21" s="399" customFormat="1" ht="16.5" customHeight="1" x14ac:dyDescent="0.2">
      <c r="A48" s="106" t="s">
        <v>50</v>
      </c>
      <c r="B48" s="804" t="s">
        <v>1529</v>
      </c>
      <c r="C48" s="107" t="s">
        <v>51</v>
      </c>
      <c r="D48" s="77" t="s">
        <v>392</v>
      </c>
      <c r="E48" s="77" t="s">
        <v>487</v>
      </c>
      <c r="F48" s="394">
        <v>3313.989</v>
      </c>
      <c r="G48" s="394">
        <v>3898.5259999999998</v>
      </c>
      <c r="H48" s="394">
        <v>3871.6979999999999</v>
      </c>
      <c r="I48" s="394">
        <v>3985.3670000000002</v>
      </c>
      <c r="J48" s="393">
        <v>4006.7040000000002</v>
      </c>
      <c r="K48" s="393">
        <v>4101.7309999999998</v>
      </c>
      <c r="L48" s="393">
        <v>4266.165</v>
      </c>
      <c r="M48" s="394">
        <v>4654.9399999999996</v>
      </c>
      <c r="N48" s="394">
        <v>4459.1499999999996</v>
      </c>
      <c r="O48" s="394">
        <v>4802.01</v>
      </c>
      <c r="P48" s="394">
        <v>4887.97</v>
      </c>
      <c r="Q48" s="394">
        <v>4941.18</v>
      </c>
      <c r="R48" s="394">
        <v>5434.9</v>
      </c>
      <c r="S48" s="394">
        <v>6008.14</v>
      </c>
      <c r="T48" s="394">
        <v>6082.91</v>
      </c>
      <c r="U48" s="392"/>
    </row>
    <row r="49" spans="1:22" s="399" customFormat="1" ht="16.5" customHeight="1" x14ac:dyDescent="0.2">
      <c r="A49" s="96" t="s">
        <v>383</v>
      </c>
      <c r="B49" s="801" t="s">
        <v>1530</v>
      </c>
      <c r="C49" s="107" t="s">
        <v>488</v>
      </c>
      <c r="D49" s="94" t="s">
        <v>489</v>
      </c>
      <c r="E49" s="94" t="s">
        <v>490</v>
      </c>
      <c r="F49" s="394">
        <f>F50+F51</f>
        <v>54.347999999999999</v>
      </c>
      <c r="G49" s="394">
        <f t="shared" ref="G49:L49" si="13">G50+G51</f>
        <v>43.553999999999995</v>
      </c>
      <c r="H49" s="394">
        <f t="shared" si="13"/>
        <v>59.741</v>
      </c>
      <c r="I49" s="394">
        <f t="shared" si="13"/>
        <v>68.228999999999999</v>
      </c>
      <c r="J49" s="393">
        <f t="shared" si="13"/>
        <v>78.296000000000006</v>
      </c>
      <c r="K49" s="393">
        <f t="shared" si="13"/>
        <v>81.658000000000001</v>
      </c>
      <c r="L49" s="393">
        <f t="shared" si="13"/>
        <v>68.736000000000004</v>
      </c>
      <c r="M49" s="394">
        <v>71.349999999999994</v>
      </c>
      <c r="N49" s="394">
        <v>68.72</v>
      </c>
      <c r="O49" s="394">
        <v>90.67</v>
      </c>
      <c r="P49" s="394">
        <v>90.83</v>
      </c>
      <c r="Q49" s="394">
        <v>90.83</v>
      </c>
      <c r="R49" s="394">
        <v>67.53</v>
      </c>
      <c r="S49" s="394">
        <v>78.48</v>
      </c>
      <c r="T49" s="394">
        <v>73.77</v>
      </c>
      <c r="U49" s="392"/>
    </row>
    <row r="50" spans="1:22" ht="16.5" customHeight="1" x14ac:dyDescent="0.2">
      <c r="A50" s="108" t="s">
        <v>491</v>
      </c>
      <c r="B50" s="108" t="s">
        <v>1531</v>
      </c>
      <c r="C50" s="76" t="s">
        <v>492</v>
      </c>
      <c r="D50" s="77" t="s">
        <v>392</v>
      </c>
      <c r="E50" s="77" t="s">
        <v>493</v>
      </c>
      <c r="F50" s="394">
        <v>35.125</v>
      </c>
      <c r="G50" s="394">
        <v>35.180999999999997</v>
      </c>
      <c r="H50" s="394">
        <v>39.637</v>
      </c>
      <c r="I50" s="394">
        <v>49.838999999999999</v>
      </c>
      <c r="J50" s="393">
        <v>58.804000000000002</v>
      </c>
      <c r="K50" s="393">
        <v>56.468000000000004</v>
      </c>
      <c r="L50" s="393">
        <v>38.512</v>
      </c>
      <c r="M50" s="394">
        <v>60.71</v>
      </c>
      <c r="N50" s="394">
        <v>55.36</v>
      </c>
      <c r="O50" s="394">
        <v>49.79</v>
      </c>
      <c r="P50" s="394">
        <v>90.83</v>
      </c>
      <c r="Q50" s="394">
        <v>90.83</v>
      </c>
      <c r="R50" s="394">
        <v>67.53</v>
      </c>
      <c r="S50" s="394">
        <v>78.48</v>
      </c>
      <c r="T50" s="394">
        <v>73.77</v>
      </c>
      <c r="U50" s="392"/>
    </row>
    <row r="51" spans="1:22" ht="16.5" customHeight="1" x14ac:dyDescent="0.2">
      <c r="A51" s="108" t="s">
        <v>494</v>
      </c>
      <c r="B51" s="108" t="s">
        <v>1532</v>
      </c>
      <c r="C51" s="76" t="s">
        <v>40</v>
      </c>
      <c r="D51" s="77" t="s">
        <v>392</v>
      </c>
      <c r="E51" s="77" t="s">
        <v>412</v>
      </c>
      <c r="F51" s="394">
        <v>19.222999999999999</v>
      </c>
      <c r="G51" s="398">
        <v>8.3729999999999993</v>
      </c>
      <c r="H51" s="398">
        <v>20.103999999999999</v>
      </c>
      <c r="I51" s="398">
        <v>18.39</v>
      </c>
      <c r="J51" s="397">
        <v>19.492000000000001</v>
      </c>
      <c r="K51" s="393">
        <v>25.19</v>
      </c>
      <c r="L51" s="393">
        <v>30.224</v>
      </c>
      <c r="M51" s="394">
        <v>10.64</v>
      </c>
      <c r="N51" s="394">
        <v>13.35</v>
      </c>
      <c r="O51" s="394">
        <v>0</v>
      </c>
      <c r="P51" s="394">
        <v>0</v>
      </c>
      <c r="Q51" s="394">
        <v>0</v>
      </c>
      <c r="R51" s="394">
        <v>0</v>
      </c>
      <c r="S51" s="394">
        <v>0</v>
      </c>
      <c r="T51" s="394">
        <v>0</v>
      </c>
      <c r="U51" s="392"/>
    </row>
    <row r="52" spans="1:22" s="399" customFormat="1" ht="16.5" customHeight="1" x14ac:dyDescent="0.2">
      <c r="A52" s="96" t="s">
        <v>52</v>
      </c>
      <c r="B52" s="801" t="s">
        <v>1010</v>
      </c>
      <c r="C52" s="107" t="s">
        <v>495</v>
      </c>
      <c r="D52" s="94" t="s">
        <v>392</v>
      </c>
      <c r="E52" s="94" t="s">
        <v>496</v>
      </c>
      <c r="F52" s="394">
        <v>919.86900000000003</v>
      </c>
      <c r="G52" s="398">
        <v>734.25800000000004</v>
      </c>
      <c r="H52" s="398">
        <v>623.35900000000004</v>
      </c>
      <c r="I52" s="398">
        <v>498.55099999999999</v>
      </c>
      <c r="J52" s="397">
        <v>490.51600000000002</v>
      </c>
      <c r="K52" s="393">
        <v>574.00099999999998</v>
      </c>
      <c r="L52" s="393">
        <v>519.81799999999998</v>
      </c>
      <c r="M52" s="394">
        <v>463.74</v>
      </c>
      <c r="N52" s="394">
        <v>376.4</v>
      </c>
      <c r="O52" s="394">
        <v>362.66</v>
      </c>
      <c r="P52" s="394">
        <v>394.24</v>
      </c>
      <c r="Q52" s="394">
        <v>351.75</v>
      </c>
      <c r="R52" s="394">
        <v>454.99</v>
      </c>
      <c r="S52" s="394">
        <v>456.66</v>
      </c>
      <c r="T52" s="394">
        <v>345.5</v>
      </c>
      <c r="U52" s="392"/>
    </row>
    <row r="53" spans="1:22" s="399" customFormat="1" ht="16.5" customHeight="1" x14ac:dyDescent="0.2">
      <c r="A53" s="87" t="s">
        <v>497</v>
      </c>
      <c r="B53" s="798" t="s">
        <v>1533</v>
      </c>
      <c r="C53" s="95" t="s">
        <v>498</v>
      </c>
      <c r="D53" s="77" t="s">
        <v>499</v>
      </c>
      <c r="E53" s="77" t="s">
        <v>499</v>
      </c>
      <c r="F53" s="394">
        <f>0+325.997</f>
        <v>325.99700000000001</v>
      </c>
      <c r="G53" s="398">
        <f>0.009+210.503</f>
        <v>210.51199999999997</v>
      </c>
      <c r="H53" s="398">
        <f>0.061+196.916</f>
        <v>196.977</v>
      </c>
      <c r="I53" s="398">
        <f>0.068+151.421</f>
        <v>151.489</v>
      </c>
      <c r="J53" s="397">
        <f>0+120.155</f>
        <v>120.155</v>
      </c>
      <c r="K53" s="393">
        <f>0+138.037</f>
        <v>138.03700000000001</v>
      </c>
      <c r="L53" s="393">
        <f>0+469.54-469.54+91.73</f>
        <v>91.73</v>
      </c>
      <c r="M53" s="394">
        <v>68.59</v>
      </c>
      <c r="N53" s="394">
        <v>57.86</v>
      </c>
      <c r="O53" s="394">
        <v>79.84</v>
      </c>
      <c r="P53" s="394">
        <v>128.53</v>
      </c>
      <c r="Q53" s="394">
        <v>86.04</v>
      </c>
      <c r="R53" s="394">
        <v>159.29</v>
      </c>
      <c r="S53" s="394">
        <v>162.30000000000001</v>
      </c>
      <c r="T53" s="394">
        <v>54.59</v>
      </c>
      <c r="U53" s="392"/>
    </row>
    <row r="54" spans="1:22" s="399" customFormat="1" ht="16.5" customHeight="1" x14ac:dyDescent="0.2">
      <c r="A54" s="87" t="s">
        <v>500</v>
      </c>
      <c r="B54" s="798" t="s">
        <v>1534</v>
      </c>
      <c r="C54" s="95" t="s">
        <v>501</v>
      </c>
      <c r="D54" s="77" t="s">
        <v>502</v>
      </c>
      <c r="E54" s="77" t="s">
        <v>502</v>
      </c>
      <c r="F54" s="394">
        <f>93.014+488.784-29.897-165.97</f>
        <v>385.93099999999993</v>
      </c>
      <c r="G54" s="398">
        <f>96.421+436.378-29.068-270.339</f>
        <v>233.392</v>
      </c>
      <c r="H54" s="398">
        <f>94.731+485.316-42.054-228.114</f>
        <v>309.87900000000002</v>
      </c>
      <c r="I54" s="398">
        <f>93.573+547.911-28.816-199.498-105.301-67.516</f>
        <v>240.35299999999989</v>
      </c>
      <c r="J54" s="397">
        <f>94.782+891.384-28.334-345.988-174.99-199.342</f>
        <v>237.51200000000003</v>
      </c>
      <c r="K54" s="393">
        <f>103.597+695.788-40.446-333.753-197.559</f>
        <v>227.62699999999998</v>
      </c>
      <c r="L54" s="393">
        <f>106.32+413.45-83.331-197.559</f>
        <v>238.87999999999997</v>
      </c>
      <c r="M54" s="394">
        <v>261.45999999999998</v>
      </c>
      <c r="N54" s="394">
        <v>242.32</v>
      </c>
      <c r="O54" s="394">
        <v>170.46</v>
      </c>
      <c r="P54" s="394">
        <v>167.92</v>
      </c>
      <c r="Q54" s="394">
        <v>167.92</v>
      </c>
      <c r="R54" s="394">
        <v>178.64</v>
      </c>
      <c r="S54" s="394">
        <v>179.74</v>
      </c>
      <c r="T54" s="394">
        <v>181.84</v>
      </c>
      <c r="U54" s="392"/>
    </row>
    <row r="55" spans="1:22" s="399" customFormat="1" ht="16.5" customHeight="1" x14ac:dyDescent="0.2">
      <c r="A55" s="84" t="s">
        <v>503</v>
      </c>
      <c r="B55" s="796" t="s">
        <v>1535</v>
      </c>
      <c r="C55" s="95" t="s">
        <v>504</v>
      </c>
      <c r="D55" s="77" t="s">
        <v>505</v>
      </c>
      <c r="E55" s="77" t="s">
        <v>505</v>
      </c>
      <c r="F55" s="394">
        <f>0+381.232-165.97</f>
        <v>215.26200000000003</v>
      </c>
      <c r="G55" s="398">
        <f>0+315.342-270.339</f>
        <v>45.002999999999986</v>
      </c>
      <c r="H55" s="398">
        <f>0+337.519-228.114</f>
        <v>109.405</v>
      </c>
      <c r="I55" s="398">
        <f>0+404.903-199.498-105.301-67.516</f>
        <v>32.588000000000022</v>
      </c>
      <c r="J55" s="397">
        <f>0+736.51-345.988-174.99-199.342</f>
        <v>16.189999999999969</v>
      </c>
      <c r="K55" s="393">
        <f>0+538.753-333.753-197.559</f>
        <v>7.4410000000000593</v>
      </c>
      <c r="L55" s="393">
        <f>0+265.108-197.559</f>
        <v>67.549000000000007</v>
      </c>
      <c r="M55" s="393">
        <v>8.5399999999999991</v>
      </c>
      <c r="N55" s="393">
        <v>9.6300000000000008</v>
      </c>
      <c r="O55" s="393">
        <v>8.8699999999999992</v>
      </c>
      <c r="P55" s="393">
        <v>8.6199999999999992</v>
      </c>
      <c r="Q55" s="393">
        <v>8.6199999999999992</v>
      </c>
      <c r="R55" s="393">
        <v>8.5399999999999991</v>
      </c>
      <c r="S55" s="393">
        <v>8.5399999999999991</v>
      </c>
      <c r="T55" s="393">
        <v>8.5399999999999991</v>
      </c>
      <c r="U55" s="392"/>
    </row>
    <row r="56" spans="1:22" s="399" customFormat="1" ht="16.5" customHeight="1" x14ac:dyDescent="0.2">
      <c r="A56" s="84" t="s">
        <v>506</v>
      </c>
      <c r="B56" s="796" t="s">
        <v>1536</v>
      </c>
      <c r="C56" s="95" t="s">
        <v>507</v>
      </c>
      <c r="D56" s="77" t="s">
        <v>508</v>
      </c>
      <c r="E56" s="77" t="s">
        <v>508</v>
      </c>
      <c r="F56" s="394">
        <f>93.014+102.14-29.897</f>
        <v>165.25700000000001</v>
      </c>
      <c r="G56" s="398">
        <f>96.421+115.062-29.068</f>
        <v>182.41499999999999</v>
      </c>
      <c r="H56" s="398">
        <f>94.731+141.166-42.054</f>
        <v>193.84299999999999</v>
      </c>
      <c r="I56" s="398">
        <f>93.573+135.374-28.816</f>
        <v>200.131</v>
      </c>
      <c r="J56" s="397">
        <f>94.782+147.742-28.334</f>
        <v>214.19</v>
      </c>
      <c r="K56" s="393">
        <f>103.597+151.037-40.446</f>
        <v>214.18800000000002</v>
      </c>
      <c r="L56" s="393">
        <f>106.32+140.792-83.331</f>
        <v>163.78100000000001</v>
      </c>
      <c r="M56" s="394">
        <v>246.76</v>
      </c>
      <c r="N56" s="394">
        <v>228.69</v>
      </c>
      <c r="O56" s="394">
        <v>153</v>
      </c>
      <c r="P56" s="394">
        <v>158.30000000000001</v>
      </c>
      <c r="Q56" s="394">
        <v>158.30000000000001</v>
      </c>
      <c r="R56" s="394">
        <v>164.1</v>
      </c>
      <c r="S56" s="394">
        <v>165.2</v>
      </c>
      <c r="T56" s="394">
        <v>167.3</v>
      </c>
      <c r="U56" s="392"/>
    </row>
    <row r="57" spans="1:22" s="399" customFormat="1" ht="16.5" customHeight="1" x14ac:dyDescent="0.2">
      <c r="A57" s="87" t="s">
        <v>509</v>
      </c>
      <c r="B57" s="798" t="s">
        <v>1537</v>
      </c>
      <c r="C57" s="95" t="s">
        <v>472</v>
      </c>
      <c r="D57" s="77" t="s">
        <v>510</v>
      </c>
      <c r="E57" s="77" t="s">
        <v>510</v>
      </c>
      <c r="F57" s="394">
        <f t="shared" ref="F57:L57" si="14">F52-F53-F54</f>
        <v>207.94100000000014</v>
      </c>
      <c r="G57" s="394">
        <f t="shared" si="14"/>
        <v>290.3540000000001</v>
      </c>
      <c r="H57" s="394">
        <f t="shared" si="14"/>
        <v>116.50300000000004</v>
      </c>
      <c r="I57" s="394">
        <f t="shared" si="14"/>
        <v>106.70900000000012</v>
      </c>
      <c r="J57" s="393">
        <f t="shared" si="14"/>
        <v>132.84899999999996</v>
      </c>
      <c r="K57" s="393">
        <f t="shared" si="14"/>
        <v>208.33699999999996</v>
      </c>
      <c r="L57" s="393">
        <f t="shared" si="14"/>
        <v>189.208</v>
      </c>
      <c r="M57" s="394">
        <v>133.69</v>
      </c>
      <c r="N57" s="394">
        <v>76.22</v>
      </c>
      <c r="O57" s="394">
        <v>112.35</v>
      </c>
      <c r="P57" s="394">
        <v>97.78</v>
      </c>
      <c r="Q57" s="394">
        <v>97.78</v>
      </c>
      <c r="R57" s="394">
        <v>117.06</v>
      </c>
      <c r="S57" s="394">
        <v>114.63</v>
      </c>
      <c r="T57" s="394">
        <v>109.07</v>
      </c>
      <c r="U57" s="392"/>
    </row>
    <row r="58" spans="1:22" s="399" customFormat="1" ht="18" customHeight="1" x14ac:dyDescent="0.2">
      <c r="A58" s="106" t="s">
        <v>511</v>
      </c>
      <c r="B58" s="804" t="s">
        <v>1538</v>
      </c>
      <c r="C58" s="107" t="s">
        <v>460</v>
      </c>
      <c r="D58" s="77" t="s">
        <v>392</v>
      </c>
      <c r="E58" s="77" t="s">
        <v>461</v>
      </c>
      <c r="F58" s="394">
        <v>891.53700000000003</v>
      </c>
      <c r="G58" s="394">
        <v>916.245</v>
      </c>
      <c r="H58" s="398">
        <v>877.28399999999999</v>
      </c>
      <c r="I58" s="394">
        <v>1079.231</v>
      </c>
      <c r="J58" s="393">
        <v>1283.2670000000001</v>
      </c>
      <c r="K58" s="393">
        <v>1387.038</v>
      </c>
      <c r="L58" s="393">
        <v>1443.6010000000001</v>
      </c>
      <c r="M58" s="394">
        <v>1379.41</v>
      </c>
      <c r="N58" s="394">
        <v>1335.81</v>
      </c>
      <c r="O58" s="394">
        <v>1179.44</v>
      </c>
      <c r="P58" s="394">
        <v>1135.8499999999999</v>
      </c>
      <c r="Q58" s="394">
        <v>1129.22</v>
      </c>
      <c r="R58" s="394">
        <v>1124.79</v>
      </c>
      <c r="S58" s="394">
        <v>1094.8599999999999</v>
      </c>
      <c r="T58" s="394">
        <v>1111.74</v>
      </c>
      <c r="U58" s="392"/>
    </row>
    <row r="59" spans="1:22" s="399" customFormat="1" ht="16.5" customHeight="1" x14ac:dyDescent="0.2">
      <c r="A59" s="108" t="s">
        <v>53</v>
      </c>
      <c r="B59" s="108" t="s">
        <v>1517</v>
      </c>
      <c r="C59" s="107" t="s">
        <v>467</v>
      </c>
      <c r="D59" s="77" t="s">
        <v>392</v>
      </c>
      <c r="E59" s="77" t="s">
        <v>469</v>
      </c>
      <c r="F59" s="394">
        <v>891.53700000000003</v>
      </c>
      <c r="G59" s="394">
        <v>916.245</v>
      </c>
      <c r="H59" s="398">
        <v>877.28399999999999</v>
      </c>
      <c r="I59" s="394">
        <v>1079.231</v>
      </c>
      <c r="J59" s="393">
        <v>1283.2670000000001</v>
      </c>
      <c r="K59" s="393">
        <v>1387.038</v>
      </c>
      <c r="L59" s="393">
        <v>1443.6010000000001</v>
      </c>
      <c r="M59" s="394">
        <v>1379.41</v>
      </c>
      <c r="N59" s="394">
        <v>1335.81</v>
      </c>
      <c r="O59" s="394">
        <v>1179.44</v>
      </c>
      <c r="P59" s="394">
        <v>1135.8499999999999</v>
      </c>
      <c r="Q59" s="394">
        <v>1129.22</v>
      </c>
      <c r="R59" s="394">
        <v>1124.79</v>
      </c>
      <c r="S59" s="394">
        <v>1094.8599999999999</v>
      </c>
      <c r="T59" s="394">
        <v>1111.74</v>
      </c>
      <c r="U59" s="392"/>
      <c r="V59" s="392"/>
    </row>
    <row r="60" spans="1:22" s="399" customFormat="1" ht="16.5" customHeight="1" x14ac:dyDescent="0.2">
      <c r="A60" s="108" t="s">
        <v>512</v>
      </c>
      <c r="B60" s="108" t="s">
        <v>1539</v>
      </c>
      <c r="C60" s="107" t="s">
        <v>513</v>
      </c>
      <c r="D60" s="94" t="s">
        <v>514</v>
      </c>
      <c r="E60" s="94" t="s">
        <v>514</v>
      </c>
      <c r="F60" s="394">
        <v>0</v>
      </c>
      <c r="G60" s="394">
        <v>0</v>
      </c>
      <c r="H60" s="394">
        <v>0</v>
      </c>
      <c r="I60" s="394">
        <v>0</v>
      </c>
      <c r="J60" s="393">
        <v>0</v>
      </c>
      <c r="K60" s="393">
        <v>0</v>
      </c>
      <c r="L60" s="393">
        <v>3.0000000000000001E-3</v>
      </c>
      <c r="M60" s="393">
        <v>0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>
        <v>0</v>
      </c>
      <c r="U60" s="392"/>
    </row>
    <row r="61" spans="1:22" s="399" customFormat="1" ht="16.5" customHeight="1" x14ac:dyDescent="0.2">
      <c r="A61" s="106" t="s">
        <v>55</v>
      </c>
      <c r="B61" s="804" t="s">
        <v>1540</v>
      </c>
      <c r="C61" s="107" t="s">
        <v>515</v>
      </c>
      <c r="D61" s="77" t="s">
        <v>516</v>
      </c>
      <c r="E61" s="77" t="s">
        <v>517</v>
      </c>
      <c r="F61" s="394">
        <v>11147.477999999999</v>
      </c>
      <c r="G61" s="394">
        <v>12334.675999999999</v>
      </c>
      <c r="H61" s="394">
        <v>13234.156000000001</v>
      </c>
      <c r="I61" s="394">
        <v>13213.632</v>
      </c>
      <c r="J61" s="393">
        <v>13743.612999999999</v>
      </c>
      <c r="K61" s="393">
        <v>14097.725</v>
      </c>
      <c r="L61" s="393">
        <v>14500.93</v>
      </c>
      <c r="M61" s="394">
        <v>14960.2</v>
      </c>
      <c r="N61" s="394">
        <v>15519.97</v>
      </c>
      <c r="O61" s="394">
        <v>15715.28</v>
      </c>
      <c r="P61" s="394">
        <v>16402.78</v>
      </c>
      <c r="Q61" s="394">
        <v>16404.16</v>
      </c>
      <c r="R61" s="394">
        <v>16849.150000000001</v>
      </c>
      <c r="S61" s="394">
        <v>17124.060000000001</v>
      </c>
      <c r="T61" s="394">
        <v>17458.150000000001</v>
      </c>
      <c r="U61" s="392"/>
    </row>
    <row r="62" spans="1:22" ht="16.5" customHeight="1" x14ac:dyDescent="0.2">
      <c r="A62" s="87" t="s">
        <v>518</v>
      </c>
      <c r="B62" s="798" t="s">
        <v>1541</v>
      </c>
      <c r="C62" s="76" t="s">
        <v>519</v>
      </c>
      <c r="D62" s="77" t="s">
        <v>392</v>
      </c>
      <c r="E62" s="77" t="s">
        <v>520</v>
      </c>
      <c r="F62" s="394">
        <v>7987.7820000000002</v>
      </c>
      <c r="G62" s="394">
        <v>9049.2180000000008</v>
      </c>
      <c r="H62" s="394">
        <v>9752.2469999999994</v>
      </c>
      <c r="I62" s="394">
        <v>9820.7620000000006</v>
      </c>
      <c r="J62" s="393">
        <v>10242.102999999999</v>
      </c>
      <c r="K62" s="393">
        <v>10433.272000000001</v>
      </c>
      <c r="L62" s="393">
        <v>10670.954</v>
      </c>
      <c r="M62" s="394">
        <v>10967.34</v>
      </c>
      <c r="N62" s="394">
        <v>11281.54</v>
      </c>
      <c r="O62" s="394">
        <v>11468.74</v>
      </c>
      <c r="P62" s="394">
        <v>11935.9</v>
      </c>
      <c r="Q62" s="394">
        <v>11910.06</v>
      </c>
      <c r="R62" s="394">
        <v>12145.65</v>
      </c>
      <c r="S62" s="394">
        <v>12313.73</v>
      </c>
      <c r="T62" s="394">
        <v>12497.71</v>
      </c>
      <c r="U62" s="392"/>
    </row>
    <row r="63" spans="1:22" ht="16.5" customHeight="1" x14ac:dyDescent="0.2">
      <c r="A63" s="109" t="s">
        <v>521</v>
      </c>
      <c r="B63" s="805" t="s">
        <v>1542</v>
      </c>
      <c r="C63" s="79" t="s">
        <v>522</v>
      </c>
      <c r="D63" s="94" t="s">
        <v>523</v>
      </c>
      <c r="E63" s="94" t="s">
        <v>523</v>
      </c>
      <c r="F63" s="394">
        <v>70.034000000000006</v>
      </c>
      <c r="G63" s="394">
        <v>56.390999999999998</v>
      </c>
      <c r="H63" s="394">
        <v>104.119</v>
      </c>
      <c r="I63" s="394">
        <v>72.921000000000006</v>
      </c>
      <c r="J63" s="393">
        <v>57.134</v>
      </c>
      <c r="K63" s="393">
        <v>38.021999999999998</v>
      </c>
      <c r="L63" s="393">
        <v>50.674999999999997</v>
      </c>
      <c r="M63" s="394">
        <v>39.18</v>
      </c>
      <c r="N63" s="394">
        <v>69.28</v>
      </c>
      <c r="O63" s="394">
        <v>64.8</v>
      </c>
      <c r="P63" s="394">
        <v>58.65</v>
      </c>
      <c r="Q63" s="394">
        <v>55.22</v>
      </c>
      <c r="R63" s="394">
        <v>51.9</v>
      </c>
      <c r="S63" s="394">
        <v>72.069999999999993</v>
      </c>
      <c r="T63" s="394">
        <v>70.349999999999994</v>
      </c>
      <c r="U63" s="392"/>
    </row>
    <row r="64" spans="1:22" ht="16.5" customHeight="1" x14ac:dyDescent="0.2">
      <c r="A64" s="109" t="s">
        <v>524</v>
      </c>
      <c r="B64" s="805" t="s">
        <v>1543</v>
      </c>
      <c r="C64" s="79" t="s">
        <v>525</v>
      </c>
      <c r="D64" s="94" t="s">
        <v>526</v>
      </c>
      <c r="E64" s="94" t="s">
        <v>526</v>
      </c>
      <c r="F64" s="394">
        <v>246.61600000000001</v>
      </c>
      <c r="G64" s="394">
        <v>316.95999999999998</v>
      </c>
      <c r="H64" s="394">
        <v>338.78500000000003</v>
      </c>
      <c r="I64" s="394">
        <v>381.76400000000001</v>
      </c>
      <c r="J64" s="393">
        <v>428.45800000000003</v>
      </c>
      <c r="K64" s="393">
        <f>399.742+4.453</f>
        <v>404.19499999999999</v>
      </c>
      <c r="L64" s="393">
        <f>381.109+5.313</f>
        <v>386.42199999999997</v>
      </c>
      <c r="M64" s="394">
        <v>420.91</v>
      </c>
      <c r="N64" s="394">
        <v>479.09</v>
      </c>
      <c r="O64" s="394">
        <v>566.08000000000004</v>
      </c>
      <c r="P64" s="394">
        <v>613.98</v>
      </c>
      <c r="Q64" s="394">
        <v>656.43</v>
      </c>
      <c r="R64" s="394">
        <v>697.48</v>
      </c>
      <c r="S64" s="394">
        <v>734.34</v>
      </c>
      <c r="T64" s="394">
        <v>771.71</v>
      </c>
      <c r="U64" s="392"/>
    </row>
    <row r="65" spans="1:21" ht="16.5" customHeight="1" x14ac:dyDescent="0.2">
      <c r="A65" s="109" t="s">
        <v>527</v>
      </c>
      <c r="B65" s="805" t="s">
        <v>1544</v>
      </c>
      <c r="C65" s="79" t="s">
        <v>528</v>
      </c>
      <c r="D65" s="94" t="s">
        <v>529</v>
      </c>
      <c r="E65" s="77" t="s">
        <v>530</v>
      </c>
      <c r="F65" s="394">
        <v>4531.942</v>
      </c>
      <c r="G65" s="394">
        <v>5034.7359999999999</v>
      </c>
      <c r="H65" s="394">
        <v>5244.51</v>
      </c>
      <c r="I65" s="394">
        <v>5390.7460000000001</v>
      </c>
      <c r="J65" s="393">
        <v>5639.5029999999997</v>
      </c>
      <c r="K65" s="393">
        <f>5893.823+157.393+1.815</f>
        <v>6053.0309999999999</v>
      </c>
      <c r="L65" s="393">
        <f>6240.862+173.728+1.904</f>
        <v>6416.4940000000006</v>
      </c>
      <c r="M65" s="394">
        <v>6596.79</v>
      </c>
      <c r="N65" s="394">
        <v>6829.81</v>
      </c>
      <c r="O65" s="394">
        <v>7137.2</v>
      </c>
      <c r="P65" s="394">
        <v>7432.85</v>
      </c>
      <c r="Q65" s="394">
        <v>7442.31</v>
      </c>
      <c r="R65" s="394">
        <v>7735.02</v>
      </c>
      <c r="S65" s="394">
        <v>8005.94</v>
      </c>
      <c r="T65" s="394">
        <v>8268.9</v>
      </c>
      <c r="U65" s="392"/>
    </row>
    <row r="66" spans="1:21" ht="16.5" customHeight="1" x14ac:dyDescent="0.2">
      <c r="A66" s="109" t="s">
        <v>531</v>
      </c>
      <c r="B66" s="805" t="s">
        <v>1545</v>
      </c>
      <c r="C66" s="79" t="s">
        <v>532</v>
      </c>
      <c r="D66" s="94" t="s">
        <v>533</v>
      </c>
      <c r="E66" s="94" t="s">
        <v>533</v>
      </c>
      <c r="F66" s="394">
        <v>66.120999999999995</v>
      </c>
      <c r="G66" s="394">
        <v>172.43</v>
      </c>
      <c r="H66" s="394">
        <v>150.339</v>
      </c>
      <c r="I66" s="394">
        <v>163.334</v>
      </c>
      <c r="J66" s="394">
        <v>175.773</v>
      </c>
      <c r="K66" s="394">
        <v>174.30799999999999</v>
      </c>
      <c r="L66" s="394">
        <v>154.721</v>
      </c>
      <c r="M66" s="394">
        <v>158.62</v>
      </c>
      <c r="N66" s="394">
        <v>171.63</v>
      </c>
      <c r="O66" s="394">
        <v>172.86</v>
      </c>
      <c r="P66" s="394">
        <v>162.9</v>
      </c>
      <c r="Q66" s="394">
        <v>170.1</v>
      </c>
      <c r="R66" s="394">
        <v>165.25</v>
      </c>
      <c r="S66" s="394">
        <v>166.97</v>
      </c>
      <c r="T66" s="394">
        <v>168.61</v>
      </c>
      <c r="U66" s="392"/>
    </row>
    <row r="67" spans="1:21" ht="16.5" customHeight="1" x14ac:dyDescent="0.2">
      <c r="A67" s="109" t="s">
        <v>534</v>
      </c>
      <c r="B67" s="805" t="s">
        <v>1546</v>
      </c>
      <c r="C67" s="79" t="s">
        <v>535</v>
      </c>
      <c r="D67" s="94" t="s">
        <v>536</v>
      </c>
      <c r="E67" s="94" t="s">
        <v>536</v>
      </c>
      <c r="F67" s="394">
        <f>SUM(F68:F73)</f>
        <v>1086.5720000000001</v>
      </c>
      <c r="G67" s="394">
        <f t="shared" ref="G67:L67" si="15">SUM(G68:G73)</f>
        <v>1211.0309999999999</v>
      </c>
      <c r="H67" s="394">
        <f t="shared" si="15"/>
        <v>1364.961</v>
      </c>
      <c r="I67" s="394">
        <f t="shared" si="15"/>
        <v>1376.3489999999999</v>
      </c>
      <c r="J67" s="394">
        <f t="shared" si="15"/>
        <v>1381.508</v>
      </c>
      <c r="K67" s="394">
        <f t="shared" si="15"/>
        <v>1374.616</v>
      </c>
      <c r="L67" s="394">
        <f t="shared" si="15"/>
        <v>1362.7940000000001</v>
      </c>
      <c r="M67" s="394">
        <v>1336.76</v>
      </c>
      <c r="N67" s="394">
        <v>1320.38</v>
      </c>
      <c r="O67" s="394">
        <v>1354.53</v>
      </c>
      <c r="P67" s="394">
        <v>1337.77</v>
      </c>
      <c r="Q67" s="394">
        <v>1362.34</v>
      </c>
      <c r="R67" s="394">
        <v>1457.03</v>
      </c>
      <c r="S67" s="394">
        <v>1480.46</v>
      </c>
      <c r="T67" s="394">
        <v>1501.91</v>
      </c>
      <c r="U67" s="392"/>
    </row>
    <row r="68" spans="1:21" ht="16.5" customHeight="1" x14ac:dyDescent="0.2">
      <c r="A68" s="84" t="s">
        <v>537</v>
      </c>
      <c r="B68" s="796" t="s">
        <v>1547</v>
      </c>
      <c r="C68" s="79" t="s">
        <v>538</v>
      </c>
      <c r="D68" s="94" t="s">
        <v>539</v>
      </c>
      <c r="E68" s="94" t="s">
        <v>539</v>
      </c>
      <c r="F68" s="394">
        <v>268.47500000000002</v>
      </c>
      <c r="G68" s="394">
        <v>308.18900000000002</v>
      </c>
      <c r="H68" s="394">
        <v>318.96699999999998</v>
      </c>
      <c r="I68" s="394">
        <v>315.02</v>
      </c>
      <c r="J68" s="394">
        <v>316.46300000000002</v>
      </c>
      <c r="K68" s="394">
        <v>318.49400000000003</v>
      </c>
      <c r="L68" s="394">
        <v>319.09399999999999</v>
      </c>
      <c r="M68" s="394">
        <v>315.60000000000002</v>
      </c>
      <c r="N68" s="394">
        <v>312.83999999999997</v>
      </c>
      <c r="O68" s="394">
        <v>313.57</v>
      </c>
      <c r="P68" s="394">
        <v>314.66000000000003</v>
      </c>
      <c r="Q68" s="394">
        <v>315</v>
      </c>
      <c r="R68" s="394">
        <v>320.75</v>
      </c>
      <c r="S68" s="394">
        <v>327.14</v>
      </c>
      <c r="T68" s="394">
        <v>335.91</v>
      </c>
      <c r="U68" s="392"/>
    </row>
    <row r="69" spans="1:21" ht="16.5" customHeight="1" x14ac:dyDescent="0.2">
      <c r="A69" s="84" t="s">
        <v>540</v>
      </c>
      <c r="B69" s="796" t="s">
        <v>1548</v>
      </c>
      <c r="C69" s="79" t="s">
        <v>541</v>
      </c>
      <c r="D69" s="94" t="s">
        <v>542</v>
      </c>
      <c r="E69" s="94" t="s">
        <v>542</v>
      </c>
      <c r="F69" s="394">
        <v>22.914999999999999</v>
      </c>
      <c r="G69" s="394">
        <v>8.7729999999999997</v>
      </c>
      <c r="H69" s="394">
        <v>8.8369999999999997</v>
      </c>
      <c r="I69" s="394">
        <v>8.8719999999999999</v>
      </c>
      <c r="J69" s="394">
        <v>8.8829999999999991</v>
      </c>
      <c r="K69" s="394">
        <v>8.9819999999999993</v>
      </c>
      <c r="L69" s="394">
        <v>35.101999999999997</v>
      </c>
      <c r="M69" s="394">
        <v>41.46</v>
      </c>
      <c r="N69" s="394">
        <v>43.89</v>
      </c>
      <c r="O69" s="394">
        <v>40.57</v>
      </c>
      <c r="P69" s="394">
        <v>42.08</v>
      </c>
      <c r="Q69" s="394">
        <v>41.93</v>
      </c>
      <c r="R69" s="394">
        <v>48.81</v>
      </c>
      <c r="S69" s="394">
        <v>49.81</v>
      </c>
      <c r="T69" s="394">
        <v>49.81</v>
      </c>
      <c r="U69" s="392"/>
    </row>
    <row r="70" spans="1:21" ht="16.5" customHeight="1" x14ac:dyDescent="0.2">
      <c r="A70" s="84" t="s">
        <v>543</v>
      </c>
      <c r="B70" s="796" t="s">
        <v>1549</v>
      </c>
      <c r="C70" s="79" t="s">
        <v>544</v>
      </c>
      <c r="D70" s="94" t="s">
        <v>545</v>
      </c>
      <c r="E70" s="94" t="s">
        <v>545</v>
      </c>
      <c r="F70" s="394">
        <v>0</v>
      </c>
      <c r="G70" s="398">
        <v>268.46499999999997</v>
      </c>
      <c r="H70" s="398">
        <v>334.488</v>
      </c>
      <c r="I70" s="398">
        <v>352.24</v>
      </c>
      <c r="J70" s="398">
        <v>343.54300000000001</v>
      </c>
      <c r="K70" s="394">
        <v>349.31599999999997</v>
      </c>
      <c r="L70" s="394">
        <v>356.00200000000001</v>
      </c>
      <c r="M70" s="394">
        <v>355.28</v>
      </c>
      <c r="N70" s="394">
        <v>352.44</v>
      </c>
      <c r="O70" s="394">
        <v>356.71</v>
      </c>
      <c r="P70" s="394">
        <v>372.92</v>
      </c>
      <c r="Q70" s="394">
        <v>372.18</v>
      </c>
      <c r="R70" s="394">
        <v>382.06</v>
      </c>
      <c r="S70" s="394">
        <v>388.99</v>
      </c>
      <c r="T70" s="394">
        <v>398.19</v>
      </c>
      <c r="U70" s="392"/>
    </row>
    <row r="71" spans="1:21" ht="16.5" customHeight="1" x14ac:dyDescent="0.2">
      <c r="A71" s="84" t="s">
        <v>546</v>
      </c>
      <c r="B71" s="796" t="s">
        <v>1550</v>
      </c>
      <c r="C71" s="79" t="s">
        <v>547</v>
      </c>
      <c r="D71" s="94" t="s">
        <v>548</v>
      </c>
      <c r="E71" s="94" t="s">
        <v>548</v>
      </c>
      <c r="F71" s="394">
        <v>247.214</v>
      </c>
      <c r="G71" s="398">
        <v>275.601</v>
      </c>
      <c r="H71" s="398">
        <v>322.87700000000001</v>
      </c>
      <c r="I71" s="398">
        <v>313.17500000000001</v>
      </c>
      <c r="J71" s="398">
        <v>308.98899999999998</v>
      </c>
      <c r="K71" s="394">
        <v>273.64400000000001</v>
      </c>
      <c r="L71" s="394">
        <v>244.45699999999999</v>
      </c>
      <c r="M71" s="394">
        <v>213.18</v>
      </c>
      <c r="N71" s="394">
        <v>182.69</v>
      </c>
      <c r="O71" s="394">
        <v>181.32</v>
      </c>
      <c r="P71" s="394">
        <v>151.96</v>
      </c>
      <c r="Q71" s="394">
        <v>124.14</v>
      </c>
      <c r="R71" s="394">
        <v>145.27000000000001</v>
      </c>
      <c r="S71" s="394">
        <v>146.83000000000001</v>
      </c>
      <c r="T71" s="394">
        <v>141.86000000000001</v>
      </c>
      <c r="U71" s="392"/>
    </row>
    <row r="72" spans="1:21" ht="16.5" customHeight="1" x14ac:dyDescent="0.2">
      <c r="A72" s="84" t="s">
        <v>549</v>
      </c>
      <c r="B72" s="796" t="s">
        <v>1551</v>
      </c>
      <c r="C72" s="79" t="s">
        <v>550</v>
      </c>
      <c r="D72" s="94" t="s">
        <v>551</v>
      </c>
      <c r="E72" s="94" t="s">
        <v>551</v>
      </c>
      <c r="F72" s="394">
        <v>177.84200000000001</v>
      </c>
      <c r="G72" s="398">
        <v>184.589</v>
      </c>
      <c r="H72" s="398">
        <v>207.06299999999999</v>
      </c>
      <c r="I72" s="398">
        <v>210.56700000000001</v>
      </c>
      <c r="J72" s="398">
        <v>225.48699999999999</v>
      </c>
      <c r="K72" s="394">
        <v>232.52099999999999</v>
      </c>
      <c r="L72" s="394">
        <v>235.774</v>
      </c>
      <c r="M72" s="394">
        <v>231.64</v>
      </c>
      <c r="N72" s="394">
        <v>226.34</v>
      </c>
      <c r="O72" s="394">
        <v>259.10000000000002</v>
      </c>
      <c r="P72" s="394">
        <v>282.08999999999997</v>
      </c>
      <c r="Q72" s="394">
        <v>297.83</v>
      </c>
      <c r="R72" s="394">
        <v>376.14</v>
      </c>
      <c r="S72" s="394">
        <v>382.25</v>
      </c>
      <c r="T72" s="394">
        <v>389.56</v>
      </c>
      <c r="U72" s="392"/>
    </row>
    <row r="73" spans="1:21" ht="16.5" customHeight="1" x14ac:dyDescent="0.2">
      <c r="A73" s="84" t="s">
        <v>123</v>
      </c>
      <c r="B73" s="796" t="s">
        <v>1552</v>
      </c>
      <c r="C73" s="79" t="s">
        <v>472</v>
      </c>
      <c r="D73" s="94" t="s">
        <v>552</v>
      </c>
      <c r="E73" s="94" t="s">
        <v>552</v>
      </c>
      <c r="F73" s="394">
        <v>370.12599999999998</v>
      </c>
      <c r="G73" s="398">
        <v>165.41399999999999</v>
      </c>
      <c r="H73" s="398">
        <v>172.72900000000001</v>
      </c>
      <c r="I73" s="398">
        <v>176.47499999999999</v>
      </c>
      <c r="J73" s="398">
        <v>178.143</v>
      </c>
      <c r="K73" s="394">
        <v>191.65899999999999</v>
      </c>
      <c r="L73" s="394">
        <v>172.36500000000001</v>
      </c>
      <c r="M73" s="394">
        <v>179.6</v>
      </c>
      <c r="N73" s="394">
        <v>202.18</v>
      </c>
      <c r="O73" s="394">
        <v>203.25</v>
      </c>
      <c r="P73" s="394">
        <v>174.08</v>
      </c>
      <c r="Q73" s="394">
        <v>211.25</v>
      </c>
      <c r="R73" s="394">
        <v>184</v>
      </c>
      <c r="S73" s="394">
        <v>185.43</v>
      </c>
      <c r="T73" s="394">
        <v>186.57</v>
      </c>
      <c r="U73" s="392"/>
    </row>
    <row r="74" spans="1:21" ht="16.5" customHeight="1" x14ac:dyDescent="0.2">
      <c r="A74" s="109" t="s">
        <v>553</v>
      </c>
      <c r="B74" s="805" t="s">
        <v>1553</v>
      </c>
      <c r="C74" s="79" t="s">
        <v>554</v>
      </c>
      <c r="D74" s="94" t="s">
        <v>555</v>
      </c>
      <c r="E74" s="94" t="s">
        <v>555</v>
      </c>
      <c r="F74" s="394">
        <f>1208.545</f>
        <v>1208.5450000000001</v>
      </c>
      <c r="G74" s="394">
        <f>1399.85</f>
        <v>1399.85</v>
      </c>
      <c r="H74" s="394">
        <f>1564.23</f>
        <v>1564.23</v>
      </c>
      <c r="I74" s="394">
        <f>1446.947</f>
        <v>1446.9469999999999</v>
      </c>
      <c r="J74" s="394">
        <f>1599.291</f>
        <v>1599.2909999999999</v>
      </c>
      <c r="K74" s="394">
        <f>1541.466</f>
        <v>1541.4659999999999</v>
      </c>
      <c r="L74" s="394">
        <v>1447.056</v>
      </c>
      <c r="M74" s="394">
        <v>1582.23</v>
      </c>
      <c r="N74" s="394">
        <v>1626.52</v>
      </c>
      <c r="O74" s="394">
        <v>1551.71</v>
      </c>
      <c r="P74" s="394">
        <v>1646.79</v>
      </c>
      <c r="Q74" s="394">
        <v>1549.87</v>
      </c>
      <c r="R74" s="394">
        <v>1351.13</v>
      </c>
      <c r="S74" s="394">
        <v>1165.6199999999999</v>
      </c>
      <c r="T74" s="394">
        <v>1022.52</v>
      </c>
      <c r="U74" s="392"/>
    </row>
    <row r="75" spans="1:21" ht="16.5" customHeight="1" x14ac:dyDescent="0.2">
      <c r="A75" s="110" t="s">
        <v>556</v>
      </c>
      <c r="B75" s="806" t="s">
        <v>1554</v>
      </c>
      <c r="C75" s="79" t="s">
        <v>557</v>
      </c>
      <c r="D75" s="94" t="s">
        <v>558</v>
      </c>
      <c r="E75" s="94" t="s">
        <v>558</v>
      </c>
      <c r="F75" s="394">
        <v>211.08799999999999</v>
      </c>
      <c r="G75" s="394">
        <v>235.84200000000001</v>
      </c>
      <c r="H75" s="394">
        <v>221.084</v>
      </c>
      <c r="I75" s="394">
        <v>237.16800000000001</v>
      </c>
      <c r="J75" s="394">
        <v>238.774</v>
      </c>
      <c r="K75" s="394">
        <v>262.14800000000002</v>
      </c>
      <c r="L75" s="394">
        <v>232.90899999999999</v>
      </c>
      <c r="M75" s="394">
        <v>227.76</v>
      </c>
      <c r="N75" s="394">
        <v>231.5</v>
      </c>
      <c r="O75" s="394">
        <v>224.92</v>
      </c>
      <c r="P75" s="394">
        <v>304.38</v>
      </c>
      <c r="Q75" s="394">
        <v>243.29</v>
      </c>
      <c r="R75" s="394">
        <v>259.55</v>
      </c>
      <c r="S75" s="394">
        <v>275.60000000000002</v>
      </c>
      <c r="T75" s="394">
        <v>292.01</v>
      </c>
      <c r="U75" s="392"/>
    </row>
    <row r="76" spans="1:21" ht="16.5" customHeight="1" x14ac:dyDescent="0.2">
      <c r="A76" s="110" t="s">
        <v>559</v>
      </c>
      <c r="B76" s="806" t="s">
        <v>1555</v>
      </c>
      <c r="C76" s="79" t="s">
        <v>560</v>
      </c>
      <c r="D76" s="94" t="s">
        <v>561</v>
      </c>
      <c r="E76" s="94" t="s">
        <v>561</v>
      </c>
      <c r="F76" s="394">
        <v>997.45699999999999</v>
      </c>
      <c r="G76" s="394">
        <v>1162.3820000000001</v>
      </c>
      <c r="H76" s="394">
        <v>1341.2249999999999</v>
      </c>
      <c r="I76" s="394">
        <v>1207.549</v>
      </c>
      <c r="J76" s="394">
        <v>1358.204</v>
      </c>
      <c r="K76" s="394">
        <v>1276.828</v>
      </c>
      <c r="L76" s="394">
        <v>1211.5350000000001</v>
      </c>
      <c r="M76" s="394">
        <v>1351.63</v>
      </c>
      <c r="N76" s="394">
        <v>1392.1</v>
      </c>
      <c r="O76" s="394">
        <v>1326.8</v>
      </c>
      <c r="P76" s="394">
        <v>1219.45</v>
      </c>
      <c r="Q76" s="394">
        <v>1166</v>
      </c>
      <c r="R76" s="394">
        <v>960</v>
      </c>
      <c r="S76" s="394">
        <v>790</v>
      </c>
      <c r="T76" s="394">
        <v>630</v>
      </c>
      <c r="U76" s="392"/>
    </row>
    <row r="77" spans="1:21" ht="16.5" customHeight="1" x14ac:dyDescent="0.2">
      <c r="A77" s="86" t="s">
        <v>562</v>
      </c>
      <c r="B77" s="797" t="s">
        <v>1556</v>
      </c>
      <c r="C77" s="76" t="s">
        <v>563</v>
      </c>
      <c r="D77" s="94" t="s">
        <v>564</v>
      </c>
      <c r="E77" s="94" t="s">
        <v>565</v>
      </c>
      <c r="F77" s="393">
        <v>3159.6959999999999</v>
      </c>
      <c r="G77" s="393">
        <v>3285.4580000000001</v>
      </c>
      <c r="H77" s="393">
        <v>3481.9090000000001</v>
      </c>
      <c r="I77" s="393">
        <v>3392.87</v>
      </c>
      <c r="J77" s="394">
        <v>3501.51</v>
      </c>
      <c r="K77" s="394">
        <v>3664.453</v>
      </c>
      <c r="L77" s="393">
        <v>3829.9760000000001</v>
      </c>
      <c r="M77" s="393">
        <v>3992.86</v>
      </c>
      <c r="N77" s="394">
        <v>4238.43</v>
      </c>
      <c r="O77" s="394">
        <v>4375.93</v>
      </c>
      <c r="P77" s="394">
        <v>4466.88</v>
      </c>
      <c r="Q77" s="394">
        <v>4494.1099999999997</v>
      </c>
      <c r="R77" s="394">
        <v>4703.5</v>
      </c>
      <c r="S77" s="394">
        <v>4810.33</v>
      </c>
      <c r="T77" s="394">
        <v>4960.4399999999996</v>
      </c>
      <c r="U77" s="392"/>
    </row>
    <row r="78" spans="1:21" s="399" customFormat="1" ht="16.5" customHeight="1" x14ac:dyDescent="0.2">
      <c r="A78" s="106" t="s">
        <v>379</v>
      </c>
      <c r="B78" s="804" t="s">
        <v>1085</v>
      </c>
      <c r="C78" s="107" t="s">
        <v>477</v>
      </c>
      <c r="D78" s="111" t="s">
        <v>392</v>
      </c>
      <c r="E78" s="111" t="s">
        <v>478</v>
      </c>
      <c r="F78" s="393">
        <v>985.37699999999995</v>
      </c>
      <c r="G78" s="393">
        <v>1140.5940000000001</v>
      </c>
      <c r="H78" s="393">
        <v>1053.2</v>
      </c>
      <c r="I78" s="393">
        <v>965.41200000000003</v>
      </c>
      <c r="J78" s="393">
        <v>1053.2090000000001</v>
      </c>
      <c r="K78" s="393">
        <v>1205.778</v>
      </c>
      <c r="L78" s="393">
        <v>1263.434</v>
      </c>
      <c r="M78" s="393">
        <v>1489.32</v>
      </c>
      <c r="N78" s="393">
        <v>1358.1</v>
      </c>
      <c r="O78" s="394">
        <v>1216.53</v>
      </c>
      <c r="P78" s="394">
        <v>1790.55</v>
      </c>
      <c r="Q78" s="394">
        <v>1494.76</v>
      </c>
      <c r="R78" s="394">
        <v>1936.8</v>
      </c>
      <c r="S78" s="394">
        <v>2353.6999999999998</v>
      </c>
      <c r="T78" s="394">
        <v>2392.7600000000002</v>
      </c>
      <c r="U78" s="392"/>
    </row>
    <row r="79" spans="1:21" s="399" customFormat="1" ht="16.5" customHeight="1" x14ac:dyDescent="0.2">
      <c r="A79" s="87" t="s">
        <v>566</v>
      </c>
      <c r="B79" s="798" t="s">
        <v>1557</v>
      </c>
      <c r="C79" s="79" t="s">
        <v>567</v>
      </c>
      <c r="D79" s="94" t="s">
        <v>568</v>
      </c>
      <c r="E79" s="94" t="s">
        <v>568</v>
      </c>
      <c r="F79" s="393">
        <v>519.57100000000003</v>
      </c>
      <c r="G79" s="393">
        <v>612.11599999999999</v>
      </c>
      <c r="H79" s="393">
        <v>520.27</v>
      </c>
      <c r="I79" s="393">
        <v>582.13900000000001</v>
      </c>
      <c r="J79" s="394">
        <f>620.761+19.55</f>
        <v>640.31099999999992</v>
      </c>
      <c r="K79" s="394">
        <f>732.963-19.554</f>
        <v>713.40899999999999</v>
      </c>
      <c r="L79" s="393">
        <f>683.409-87.444</f>
        <v>595.96500000000003</v>
      </c>
      <c r="M79" s="393">
        <v>637.48</v>
      </c>
      <c r="N79" s="394">
        <v>684.2</v>
      </c>
      <c r="O79" s="394">
        <v>661.15</v>
      </c>
      <c r="P79" s="394">
        <v>768.12</v>
      </c>
      <c r="Q79" s="394">
        <v>765.01</v>
      </c>
      <c r="R79" s="394">
        <v>839.67</v>
      </c>
      <c r="S79" s="394">
        <v>871.02</v>
      </c>
      <c r="T79" s="394">
        <v>871.6</v>
      </c>
      <c r="U79" s="392"/>
    </row>
    <row r="80" spans="1:21" s="399" customFormat="1" ht="16.5" customHeight="1" x14ac:dyDescent="0.2">
      <c r="A80" s="87" t="s">
        <v>569</v>
      </c>
      <c r="B80" s="798" t="s">
        <v>1558</v>
      </c>
      <c r="C80" s="79" t="s">
        <v>472</v>
      </c>
      <c r="D80" s="94" t="s">
        <v>570</v>
      </c>
      <c r="E80" s="94" t="s">
        <v>570</v>
      </c>
      <c r="F80" s="393">
        <v>49.18</v>
      </c>
      <c r="G80" s="393">
        <v>55.18</v>
      </c>
      <c r="H80" s="393">
        <v>44.145000000000003</v>
      </c>
      <c r="I80" s="393">
        <v>41.97</v>
      </c>
      <c r="J80" s="394">
        <v>44.695</v>
      </c>
      <c r="K80" s="394">
        <v>46.707000000000001</v>
      </c>
      <c r="L80" s="393">
        <v>52.192999999999998</v>
      </c>
      <c r="M80" s="393">
        <v>56.97</v>
      </c>
      <c r="N80" s="394">
        <v>61.63</v>
      </c>
      <c r="O80" s="394">
        <v>63.24</v>
      </c>
      <c r="P80" s="394">
        <v>64.59</v>
      </c>
      <c r="Q80" s="394">
        <v>66.75</v>
      </c>
      <c r="R80" s="394">
        <v>71.959999999999994</v>
      </c>
      <c r="S80" s="394">
        <v>77.540000000000006</v>
      </c>
      <c r="T80" s="394">
        <v>83.38</v>
      </c>
      <c r="U80" s="392"/>
    </row>
    <row r="81" spans="1:21" s="399" customFormat="1" ht="16.5" customHeight="1" x14ac:dyDescent="0.2">
      <c r="A81" s="105" t="s">
        <v>571</v>
      </c>
      <c r="B81" s="803" t="s">
        <v>1559</v>
      </c>
      <c r="C81" s="73" t="s">
        <v>395</v>
      </c>
      <c r="D81" s="74" t="s">
        <v>395</v>
      </c>
      <c r="E81" s="74" t="s">
        <v>395</v>
      </c>
      <c r="F81" s="401">
        <f>F82+F86</f>
        <v>2862.7339999999999</v>
      </c>
      <c r="G81" s="401">
        <f t="shared" ref="G81:L81" si="16">G82+G86</f>
        <v>3677.047</v>
      </c>
      <c r="H81" s="401">
        <f t="shared" si="16"/>
        <v>3044.8850000000002</v>
      </c>
      <c r="I81" s="401">
        <f t="shared" si="16"/>
        <v>3171.741</v>
      </c>
      <c r="J81" s="391">
        <f t="shared" si="16"/>
        <v>2892.5819999999999</v>
      </c>
      <c r="K81" s="391">
        <f t="shared" si="16"/>
        <v>2932.5709999999999</v>
      </c>
      <c r="L81" s="401">
        <f t="shared" si="16"/>
        <v>3227.069</v>
      </c>
      <c r="M81" s="401">
        <v>5614.99</v>
      </c>
      <c r="N81" s="391">
        <v>3149.92</v>
      </c>
      <c r="O81" s="391">
        <v>2932.96</v>
      </c>
      <c r="P81" s="391">
        <v>2367.64</v>
      </c>
      <c r="Q81" s="391">
        <v>3293.38</v>
      </c>
      <c r="R81" s="391">
        <v>2489.98</v>
      </c>
      <c r="S81" s="391">
        <v>2855.56</v>
      </c>
      <c r="T81" s="391">
        <v>3300.22</v>
      </c>
      <c r="U81" s="392"/>
    </row>
    <row r="82" spans="1:21" ht="16.5" customHeight="1" x14ac:dyDescent="0.2">
      <c r="A82" s="88" t="s">
        <v>572</v>
      </c>
      <c r="B82" s="799" t="s">
        <v>1560</v>
      </c>
      <c r="C82" s="76" t="s">
        <v>573</v>
      </c>
      <c r="D82" s="94" t="s">
        <v>574</v>
      </c>
      <c r="E82" s="94" t="s">
        <v>575</v>
      </c>
      <c r="F82" s="393">
        <f>SUM(F83:F85)</f>
        <v>2231.2579999999998</v>
      </c>
      <c r="G82" s="393">
        <f>SUM(G83:G85)</f>
        <v>2569.4960000000001</v>
      </c>
      <c r="H82" s="393">
        <f>SUM(H83:H85)</f>
        <v>2577.0230000000001</v>
      </c>
      <c r="I82" s="393">
        <f>SUM(I83:I85)</f>
        <v>2629.203</v>
      </c>
      <c r="J82" s="393">
        <v>2489.748</v>
      </c>
      <c r="K82" s="393">
        <v>2552.8429999999998</v>
      </c>
      <c r="L82" s="393">
        <v>2841.59</v>
      </c>
      <c r="M82" s="393">
        <v>5055.8500000000004</v>
      </c>
      <c r="N82" s="393">
        <v>2806.38</v>
      </c>
      <c r="O82" s="394">
        <v>2759.84</v>
      </c>
      <c r="P82" s="394">
        <v>2138.6799999999998</v>
      </c>
      <c r="Q82" s="394">
        <v>2787.63</v>
      </c>
      <c r="R82" s="394">
        <v>2295.9</v>
      </c>
      <c r="S82" s="394">
        <v>2654.64</v>
      </c>
      <c r="T82" s="394">
        <v>3144.77</v>
      </c>
      <c r="U82" s="392"/>
    </row>
    <row r="83" spans="1:21" ht="16.5" customHeight="1" x14ac:dyDescent="0.2">
      <c r="A83" s="87" t="s">
        <v>576</v>
      </c>
      <c r="B83" s="798" t="s">
        <v>1561</v>
      </c>
      <c r="C83" s="76" t="s">
        <v>577</v>
      </c>
      <c r="D83" s="77" t="s">
        <v>392</v>
      </c>
      <c r="E83" s="77" t="s">
        <v>578</v>
      </c>
      <c r="F83" s="393">
        <v>2307.6439999999998</v>
      </c>
      <c r="G83" s="393">
        <v>2486.96</v>
      </c>
      <c r="H83" s="393">
        <v>2441.0880000000002</v>
      </c>
      <c r="I83" s="393">
        <v>2691.759</v>
      </c>
      <c r="J83" s="393">
        <v>2435.8110000000001</v>
      </c>
      <c r="K83" s="393">
        <v>2466.08</v>
      </c>
      <c r="L83" s="393">
        <v>3023.41</v>
      </c>
      <c r="M83" s="393">
        <v>4950.6499999999996</v>
      </c>
      <c r="N83" s="393">
        <v>2599.5700000000002</v>
      </c>
      <c r="O83" s="394">
        <v>2698.97</v>
      </c>
      <c r="P83" s="394">
        <v>2163.2800000000002</v>
      </c>
      <c r="Q83" s="394">
        <v>2854.75</v>
      </c>
      <c r="R83" s="394">
        <v>2311.6999999999998</v>
      </c>
      <c r="S83" s="394">
        <v>2565.9899999999998</v>
      </c>
      <c r="T83" s="394">
        <v>2926.83</v>
      </c>
      <c r="U83" s="392"/>
    </row>
    <row r="84" spans="1:21" ht="16.5" customHeight="1" x14ac:dyDescent="0.2">
      <c r="A84" s="87" t="s">
        <v>579</v>
      </c>
      <c r="B84" s="798" t="s">
        <v>1562</v>
      </c>
      <c r="C84" s="76" t="s">
        <v>580</v>
      </c>
      <c r="D84" s="77" t="s">
        <v>581</v>
      </c>
      <c r="E84" s="77" t="s">
        <v>582</v>
      </c>
      <c r="F84" s="393">
        <v>109.414</v>
      </c>
      <c r="G84" s="394">
        <v>52.887</v>
      </c>
      <c r="H84" s="394">
        <v>94.768000000000001</v>
      </c>
      <c r="I84" s="394">
        <v>2.2530000000000001</v>
      </c>
      <c r="J84" s="393">
        <v>19.579999999999998</v>
      </c>
      <c r="K84" s="393">
        <v>60.564</v>
      </c>
      <c r="L84" s="394">
        <v>47.12</v>
      </c>
      <c r="M84" s="394">
        <v>6.43</v>
      </c>
      <c r="N84" s="393">
        <v>21.32</v>
      </c>
      <c r="O84" s="394">
        <v>14.14</v>
      </c>
      <c r="P84" s="394">
        <v>13.82</v>
      </c>
      <c r="Q84" s="394">
        <v>13.82</v>
      </c>
      <c r="R84" s="394">
        <v>27.86</v>
      </c>
      <c r="S84" s="394">
        <v>134.31</v>
      </c>
      <c r="T84" s="394">
        <v>258.35000000000002</v>
      </c>
      <c r="U84" s="392"/>
    </row>
    <row r="85" spans="1:21" ht="16.5" customHeight="1" x14ac:dyDescent="0.2">
      <c r="A85" s="87" t="s">
        <v>583</v>
      </c>
      <c r="B85" s="798" t="s">
        <v>1563</v>
      </c>
      <c r="C85" s="76" t="s">
        <v>584</v>
      </c>
      <c r="D85" s="77" t="s">
        <v>392</v>
      </c>
      <c r="E85" s="77" t="s">
        <v>585</v>
      </c>
      <c r="F85" s="394">
        <v>-185.8</v>
      </c>
      <c r="G85" s="394">
        <v>29.649000000000001</v>
      </c>
      <c r="H85" s="394">
        <v>41.167000000000002</v>
      </c>
      <c r="I85" s="394">
        <v>-64.808999999999997</v>
      </c>
      <c r="J85" s="394">
        <v>34.356999999999999</v>
      </c>
      <c r="K85" s="394">
        <v>26.199000000000002</v>
      </c>
      <c r="L85" s="394">
        <v>-228.94</v>
      </c>
      <c r="M85" s="394">
        <v>98.78</v>
      </c>
      <c r="N85" s="394">
        <v>185.49</v>
      </c>
      <c r="O85" s="394">
        <v>26.28</v>
      </c>
      <c r="P85" s="394">
        <v>-38.42</v>
      </c>
      <c r="Q85" s="394">
        <v>-80.94</v>
      </c>
      <c r="R85" s="394">
        <v>-43.65</v>
      </c>
      <c r="S85" s="394">
        <v>-45.66</v>
      </c>
      <c r="T85" s="394">
        <v>-40.409999999999997</v>
      </c>
      <c r="U85" s="392"/>
    </row>
    <row r="86" spans="1:21" ht="16.5" customHeight="1" x14ac:dyDescent="0.2">
      <c r="A86" s="88" t="s">
        <v>58</v>
      </c>
      <c r="B86" s="799" t="s">
        <v>1027</v>
      </c>
      <c r="C86" s="76" t="s">
        <v>479</v>
      </c>
      <c r="D86" s="94" t="s">
        <v>392</v>
      </c>
      <c r="E86" s="94" t="s">
        <v>586</v>
      </c>
      <c r="F86" s="394">
        <f t="shared" ref="F86:L86" si="17">F87</f>
        <v>631.476</v>
      </c>
      <c r="G86" s="394">
        <f t="shared" si="17"/>
        <v>1107.5509999999999</v>
      </c>
      <c r="H86" s="394">
        <f t="shared" si="17"/>
        <v>467.86200000000002</v>
      </c>
      <c r="I86" s="394">
        <f t="shared" si="17"/>
        <v>542.53800000000001</v>
      </c>
      <c r="J86" s="394">
        <f t="shared" si="17"/>
        <v>402.834</v>
      </c>
      <c r="K86" s="394">
        <f t="shared" si="17"/>
        <v>379.72800000000001</v>
      </c>
      <c r="L86" s="394">
        <f t="shared" si="17"/>
        <v>385.47899999999998</v>
      </c>
      <c r="M86" s="394">
        <v>559.14</v>
      </c>
      <c r="N86" s="394">
        <v>343.54</v>
      </c>
      <c r="O86" s="394">
        <v>173.11</v>
      </c>
      <c r="P86" s="394">
        <v>228.97</v>
      </c>
      <c r="Q86" s="394">
        <v>505.75</v>
      </c>
      <c r="R86" s="394">
        <v>194.08</v>
      </c>
      <c r="S86" s="394">
        <v>200.91</v>
      </c>
      <c r="T86" s="394">
        <v>155.44999999999999</v>
      </c>
      <c r="U86" s="392"/>
    </row>
    <row r="87" spans="1:21" ht="16.5" customHeight="1" x14ac:dyDescent="0.2">
      <c r="A87" s="87" t="s">
        <v>587</v>
      </c>
      <c r="B87" s="87" t="s">
        <v>1564</v>
      </c>
      <c r="C87" s="112" t="s">
        <v>588</v>
      </c>
      <c r="D87" s="113" t="s">
        <v>589</v>
      </c>
      <c r="E87" s="113" t="s">
        <v>586</v>
      </c>
      <c r="F87" s="394">
        <v>631.476</v>
      </c>
      <c r="G87" s="398">
        <v>1107.5509999999999</v>
      </c>
      <c r="H87" s="398">
        <v>467.86200000000002</v>
      </c>
      <c r="I87" s="398">
        <v>542.53800000000001</v>
      </c>
      <c r="J87" s="398">
        <v>402.834</v>
      </c>
      <c r="K87" s="394">
        <v>379.72800000000001</v>
      </c>
      <c r="L87" s="398">
        <v>385.47899999999998</v>
      </c>
      <c r="M87" s="398">
        <v>559.14</v>
      </c>
      <c r="N87" s="398">
        <v>343.54</v>
      </c>
      <c r="O87" s="394">
        <v>173.11</v>
      </c>
      <c r="P87" s="394">
        <v>228.97</v>
      </c>
      <c r="Q87" s="394">
        <v>505.75</v>
      </c>
      <c r="R87" s="394">
        <v>194.08</v>
      </c>
      <c r="S87" s="394">
        <v>200.91</v>
      </c>
      <c r="T87" s="394">
        <v>155.44999999999999</v>
      </c>
      <c r="U87" s="392"/>
    </row>
    <row r="88" spans="1:21" ht="16.5" customHeight="1" x14ac:dyDescent="0.2">
      <c r="A88" s="66" t="s">
        <v>590</v>
      </c>
      <c r="B88" s="66" t="s">
        <v>1367</v>
      </c>
      <c r="C88" s="114" t="s">
        <v>78</v>
      </c>
      <c r="D88" s="115"/>
      <c r="E88" s="115"/>
      <c r="F88" s="402">
        <f t="shared" ref="F88:N88" si="18">F6-F42</f>
        <v>-1662.8050000000003</v>
      </c>
      <c r="G88" s="402">
        <f t="shared" si="18"/>
        <v>-4996.4929999999986</v>
      </c>
      <c r="H88" s="402">
        <f t="shared" si="18"/>
        <v>-5058.107</v>
      </c>
      <c r="I88" s="402">
        <f t="shared" si="18"/>
        <v>-3020.6909999999989</v>
      </c>
      <c r="J88" s="402">
        <f t="shared" si="18"/>
        <v>-3158.8849999999984</v>
      </c>
      <c r="K88" s="402">
        <f t="shared" si="18"/>
        <v>-2017.4120000000003</v>
      </c>
      <c r="L88" s="402">
        <f t="shared" si="18"/>
        <v>-2056.1159999999982</v>
      </c>
      <c r="M88" s="402">
        <f t="shared" si="18"/>
        <v>-2026.9360000000015</v>
      </c>
      <c r="N88" s="402">
        <f t="shared" si="18"/>
        <v>-1804.7109999999993</v>
      </c>
      <c r="O88" s="402">
        <v>-659.33299999999997</v>
      </c>
      <c r="P88" s="117">
        <f>P6-P42</f>
        <v>-742.80799999999726</v>
      </c>
      <c r="Q88" s="117">
        <f>Q6-Q42</f>
        <v>-542.97000000000116</v>
      </c>
      <c r="R88" s="116">
        <f>R6-R42</f>
        <v>-96.895000000004075</v>
      </c>
      <c r="S88" s="117">
        <f>S6-S42</f>
        <v>-4.9999999973806553E-3</v>
      </c>
      <c r="T88" s="117">
        <f>T6-T42</f>
        <v>218.55000000000291</v>
      </c>
      <c r="U88" s="392"/>
    </row>
    <row r="89" spans="1:21" ht="16.5" customHeight="1" x14ac:dyDescent="0.2">
      <c r="A89" s="118" t="s">
        <v>4</v>
      </c>
      <c r="B89" s="118" t="s">
        <v>1492</v>
      </c>
      <c r="C89" s="119"/>
      <c r="D89" s="120"/>
      <c r="E89" s="120"/>
      <c r="F89" s="121">
        <f t="shared" ref="F89:N89" si="19">F88/F90</f>
        <v>-2.4337573719808395E-2</v>
      </c>
      <c r="G89" s="121">
        <f t="shared" si="19"/>
        <v>-7.8292228876248329E-2</v>
      </c>
      <c r="H89" s="121">
        <f t="shared" si="19"/>
        <v>-7.4849215612203909E-2</v>
      </c>
      <c r="I89" s="121">
        <f t="shared" si="19"/>
        <v>-4.2769510700586252E-2</v>
      </c>
      <c r="J89" s="121">
        <f t="shared" si="19"/>
        <v>-4.3448863330716882E-2</v>
      </c>
      <c r="K89" s="121">
        <f t="shared" si="19"/>
        <v>-2.719988478340795E-2</v>
      </c>
      <c r="L89" s="121">
        <f t="shared" si="19"/>
        <v>-2.7022943195260912E-2</v>
      </c>
      <c r="M89" s="121">
        <f t="shared" si="19"/>
        <v>-2.5612598268230442E-2</v>
      </c>
      <c r="N89" s="121">
        <f t="shared" si="19"/>
        <v>-2.2218370694838334E-2</v>
      </c>
      <c r="O89" s="121">
        <f t="shared" ref="O89:T89" si="20">O88/O90</f>
        <v>-7.7704915567516726E-3</v>
      </c>
      <c r="P89" s="122">
        <f t="shared" si="20"/>
        <v>-8.2999665904242709E-3</v>
      </c>
      <c r="Q89" s="122">
        <f t="shared" si="20"/>
        <v>-6.0115855692001669E-3</v>
      </c>
      <c r="R89" s="121">
        <f t="shared" si="20"/>
        <v>-1.0016310273000346E-3</v>
      </c>
      <c r="S89" s="122">
        <f t="shared" si="20"/>
        <v>-4.8531658086266273E-8</v>
      </c>
      <c r="T89" s="122">
        <f t="shared" si="20"/>
        <v>2.0032050838466632E-3</v>
      </c>
      <c r="U89" s="392"/>
    </row>
    <row r="90" spans="1:21" ht="16.5" customHeight="1" x14ac:dyDescent="0.2">
      <c r="A90" s="123" t="s">
        <v>94</v>
      </c>
      <c r="B90" s="123" t="s">
        <v>939</v>
      </c>
      <c r="C90" s="124"/>
      <c r="D90" s="125"/>
      <c r="E90" s="125"/>
      <c r="F90" s="537">
        <v>68322.546000000002</v>
      </c>
      <c r="G90" s="537">
        <v>63818.504999999997</v>
      </c>
      <c r="H90" s="537">
        <v>67577.288</v>
      </c>
      <c r="I90" s="537">
        <v>70627.205000000002</v>
      </c>
      <c r="J90" s="537">
        <v>72703.513000000006</v>
      </c>
      <c r="K90" s="537">
        <v>74169.873000000007</v>
      </c>
      <c r="L90" s="537">
        <v>76087.789000000004</v>
      </c>
      <c r="M90" s="537">
        <v>79138.241999999998</v>
      </c>
      <c r="N90" s="537">
        <v>81226.073000000004</v>
      </c>
      <c r="O90" s="537">
        <v>84850.873999999996</v>
      </c>
      <c r="P90" s="537">
        <v>89495.3</v>
      </c>
      <c r="Q90" s="537">
        <v>90320.597411415132</v>
      </c>
      <c r="R90" s="537">
        <v>96737.218954959098</v>
      </c>
      <c r="S90" s="537">
        <v>103025.53414707213</v>
      </c>
      <c r="T90" s="537">
        <v>109100.16241588771</v>
      </c>
      <c r="U90" s="392"/>
    </row>
    <row r="91" spans="1:21" x14ac:dyDescent="0.2">
      <c r="A91" s="395"/>
      <c r="B91" s="39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21" x14ac:dyDescent="0.2">
      <c r="A92" s="395"/>
      <c r="B92" s="395"/>
      <c r="E92" s="6"/>
      <c r="F92" s="536"/>
      <c r="G92" s="536"/>
      <c r="H92" s="536"/>
      <c r="I92" s="536"/>
      <c r="J92" s="536"/>
      <c r="K92" s="536"/>
      <c r="L92" s="536"/>
      <c r="M92" s="536"/>
      <c r="N92" s="536"/>
      <c r="O92" s="536"/>
      <c r="P92" s="536"/>
      <c r="Q92" s="536"/>
      <c r="R92" s="536"/>
      <c r="S92" s="536"/>
      <c r="T92" s="536"/>
    </row>
    <row r="93" spans="1:21" x14ac:dyDescent="0.2">
      <c r="A93" s="395"/>
      <c r="B93" s="39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1" x14ac:dyDescent="0.2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21" x14ac:dyDescent="0.2">
      <c r="E95" s="6"/>
      <c r="F95" s="6"/>
      <c r="G95" s="6"/>
      <c r="H95" s="6"/>
      <c r="I95" s="6"/>
      <c r="J95" s="6"/>
      <c r="K95" s="6"/>
      <c r="L95" s="6"/>
      <c r="M95" s="6"/>
      <c r="N95" s="6"/>
      <c r="O95" s="538"/>
    </row>
    <row r="96" spans="1:21" x14ac:dyDescent="0.2">
      <c r="E96" s="6"/>
      <c r="F96" s="6"/>
      <c r="G96" s="6"/>
      <c r="H96" s="6"/>
      <c r="I96" s="6"/>
      <c r="J96" s="6"/>
      <c r="K96" s="6"/>
      <c r="L96" s="6"/>
      <c r="M96" s="6"/>
      <c r="N96" s="6"/>
      <c r="O96" s="539"/>
    </row>
    <row r="97" spans="5:18" x14ac:dyDescent="0.2"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5:18" x14ac:dyDescent="0.2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5:18" x14ac:dyDescent="0.2">
      <c r="N99" s="380"/>
      <c r="O99" s="380"/>
      <c r="P99" s="380"/>
      <c r="Q99" s="380"/>
    </row>
    <row r="100" spans="5:18" x14ac:dyDescent="0.2">
      <c r="J100" s="380"/>
      <c r="K100" s="380"/>
      <c r="L100" s="380"/>
      <c r="M100" s="380"/>
      <c r="N100" s="380"/>
      <c r="O100" s="380"/>
      <c r="P100" s="380"/>
      <c r="Q100" s="380"/>
    </row>
    <row r="101" spans="5:18" x14ac:dyDescent="0.2">
      <c r="M101" s="6"/>
      <c r="N101" s="6"/>
    </row>
    <row r="102" spans="5:18" x14ac:dyDescent="0.2">
      <c r="H102" s="381"/>
      <c r="J102" s="382"/>
      <c r="K102" s="382"/>
      <c r="L102" s="382"/>
      <c r="M102" s="383"/>
      <c r="N102" s="383"/>
      <c r="O102" s="383"/>
      <c r="P102" s="382"/>
      <c r="Q102" s="382"/>
    </row>
    <row r="103" spans="5:18" x14ac:dyDescent="0.2">
      <c r="H103" s="381"/>
      <c r="I103" s="383"/>
      <c r="J103" s="382"/>
      <c r="K103" s="382"/>
      <c r="L103" s="382"/>
    </row>
    <row r="104" spans="5:18" x14ac:dyDescent="0.2">
      <c r="H104" s="381"/>
      <c r="I104" s="383"/>
      <c r="J104" s="382"/>
      <c r="K104" s="382"/>
      <c r="L104" s="382"/>
      <c r="M104" s="382"/>
      <c r="N104" s="382"/>
      <c r="O104" s="382"/>
    </row>
    <row r="105" spans="5:18" x14ac:dyDescent="0.2">
      <c r="H105" s="381"/>
      <c r="I105" s="383"/>
      <c r="J105" s="382"/>
      <c r="K105" s="382"/>
      <c r="L105" s="382"/>
      <c r="M105" s="382"/>
      <c r="N105" s="382"/>
      <c r="O105" s="382"/>
    </row>
  </sheetData>
  <mergeCells count="3">
    <mergeCell ref="C4:C5"/>
    <mergeCell ref="D4:D5"/>
    <mergeCell ref="E4:E5"/>
  </mergeCells>
  <pageMargins left="0.7" right="0.7" top="0.75" bottom="0.75" header="0.3" footer="0.3"/>
  <pageSetup paperSize="9" orientation="portrait" r:id="rId1"/>
  <ignoredErrors>
    <ignoredError sqref="R89:S89 R6:S7 F7:N7 F42:L43 O7:P7 F88:N88 O6 F89:N89 P89 S88 P88 F6:L6 N6" unlockedFormula="1"/>
  </ignoredError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4:G137"/>
  <sheetViews>
    <sheetView showGridLines="0" workbookViewId="0">
      <selection activeCell="G37" sqref="G37"/>
    </sheetView>
  </sheetViews>
  <sheetFormatPr defaultColWidth="9.140625" defaultRowHeight="12.75" x14ac:dyDescent="0.2"/>
  <cols>
    <col min="1" max="1" width="9.140625" style="6"/>
    <col min="2" max="2" width="10.7109375" style="6" bestFit="1" customWidth="1"/>
    <col min="3" max="3" width="18.140625" style="6" customWidth="1"/>
    <col min="4" max="4" width="19.42578125" style="6" customWidth="1"/>
    <col min="5" max="5" width="13.42578125" style="6" bestFit="1" customWidth="1"/>
    <col min="6" max="16384" width="9.140625" style="6"/>
  </cols>
  <sheetData>
    <row r="4" spans="1:7" x14ac:dyDescent="0.2">
      <c r="A4" s="131" t="s">
        <v>204</v>
      </c>
      <c r="B4" s="16"/>
      <c r="D4" s="131"/>
      <c r="E4" s="131"/>
    </row>
    <row r="5" spans="1:7" ht="28.9" customHeight="1" x14ac:dyDescent="0.2">
      <c r="A5" s="567"/>
      <c r="B5" s="683" t="s">
        <v>803</v>
      </c>
      <c r="C5" s="755" t="s">
        <v>799</v>
      </c>
      <c r="D5" s="568" t="s">
        <v>800</v>
      </c>
      <c r="E5" s="568" t="s">
        <v>801</v>
      </c>
    </row>
    <row r="6" spans="1:7" ht="28.9" customHeight="1" x14ac:dyDescent="0.2">
      <c r="A6" s="136"/>
      <c r="B6" s="756" t="s">
        <v>152</v>
      </c>
      <c r="C6" s="754" t="s">
        <v>1267</v>
      </c>
      <c r="D6" s="754" t="s">
        <v>1265</v>
      </c>
      <c r="E6" s="754" t="s">
        <v>1266</v>
      </c>
    </row>
    <row r="7" spans="1:7" x14ac:dyDescent="0.2">
      <c r="A7" s="6">
        <v>1</v>
      </c>
      <c r="B7" s="137">
        <v>31137</v>
      </c>
      <c r="C7" s="569">
        <v>1.68154912724418</v>
      </c>
      <c r="D7" s="569">
        <v>7.8135206996367996</v>
      </c>
      <c r="E7" s="569">
        <v>7.51</v>
      </c>
    </row>
    <row r="8" spans="1:7" x14ac:dyDescent="0.2">
      <c r="A8" s="6">
        <v>2</v>
      </c>
      <c r="B8" s="137">
        <v>31228</v>
      </c>
      <c r="C8" s="569">
        <v>1.75396399924256</v>
      </c>
      <c r="D8" s="569">
        <v>7.65922812217278</v>
      </c>
      <c r="E8" s="569">
        <v>7.17</v>
      </c>
    </row>
    <row r="9" spans="1:7" x14ac:dyDescent="0.2">
      <c r="A9" s="6">
        <v>3</v>
      </c>
      <c r="B9" s="137">
        <v>31320</v>
      </c>
      <c r="C9" s="569">
        <v>1.4579586288233599</v>
      </c>
      <c r="D9" s="569">
        <v>7.3785056562235196</v>
      </c>
      <c r="E9" s="569">
        <v>6.71</v>
      </c>
    </row>
    <row r="10" spans="1:7" x14ac:dyDescent="0.2">
      <c r="A10" s="6">
        <v>4</v>
      </c>
      <c r="B10" s="137">
        <v>31412</v>
      </c>
      <c r="C10" s="569">
        <v>1.4447075386019701</v>
      </c>
      <c r="D10" s="569">
        <v>7.1292578031976896</v>
      </c>
      <c r="E10" s="569">
        <v>6.69</v>
      </c>
    </row>
    <row r="11" spans="1:7" x14ac:dyDescent="0.2">
      <c r="A11" s="6">
        <v>5</v>
      </c>
      <c r="B11" s="137">
        <v>31502</v>
      </c>
      <c r="C11" s="569">
        <v>1.01748183952788</v>
      </c>
      <c r="D11" s="569">
        <v>6.80939629101647</v>
      </c>
      <c r="E11" s="569">
        <v>6.02</v>
      </c>
    </row>
    <row r="12" spans="1:7" x14ac:dyDescent="0.2">
      <c r="A12" s="6">
        <v>6</v>
      </c>
      <c r="B12" s="137">
        <v>31593</v>
      </c>
      <c r="C12" s="569">
        <v>1.1546144663259701</v>
      </c>
      <c r="D12" s="569">
        <v>6.4719473232223397</v>
      </c>
      <c r="E12" s="569">
        <v>6.15</v>
      </c>
      <c r="G12" s="60" t="s">
        <v>802</v>
      </c>
    </row>
    <row r="13" spans="1:7" x14ac:dyDescent="0.2">
      <c r="A13" s="6">
        <v>7</v>
      </c>
      <c r="B13" s="137">
        <v>31685</v>
      </c>
      <c r="C13" s="569">
        <v>1.1109179984174999</v>
      </c>
      <c r="D13" s="569">
        <v>6.1604813163734002</v>
      </c>
      <c r="E13" s="569">
        <v>6.3</v>
      </c>
    </row>
    <row r="14" spans="1:7" x14ac:dyDescent="0.2">
      <c r="A14" s="6">
        <v>8</v>
      </c>
      <c r="B14" s="137">
        <v>31777</v>
      </c>
      <c r="C14" s="569">
        <v>0.98808457410834205</v>
      </c>
      <c r="D14" s="569">
        <v>5.8404943662865501</v>
      </c>
      <c r="E14" s="569">
        <v>6.24</v>
      </c>
    </row>
    <row r="15" spans="1:7" x14ac:dyDescent="0.2">
      <c r="A15" s="6">
        <v>9</v>
      </c>
      <c r="B15" s="137">
        <v>31867</v>
      </c>
      <c r="C15" s="569">
        <v>0.98190902819551396</v>
      </c>
      <c r="D15" s="569">
        <v>5.5788253400514503</v>
      </c>
      <c r="E15" s="569">
        <v>5.99</v>
      </c>
    </row>
    <row r="16" spans="1:7" x14ac:dyDescent="0.2">
      <c r="A16" s="6">
        <v>10</v>
      </c>
      <c r="B16" s="137">
        <v>31958</v>
      </c>
      <c r="C16" s="569">
        <v>1.3247251799895099</v>
      </c>
      <c r="D16" s="569">
        <v>5.3198973404560901</v>
      </c>
      <c r="E16" s="569">
        <v>6.48</v>
      </c>
    </row>
    <row r="17" spans="1:5" x14ac:dyDescent="0.2">
      <c r="A17" s="6">
        <v>11</v>
      </c>
      <c r="B17" s="137">
        <v>32050</v>
      </c>
      <c r="C17" s="569">
        <v>1.4617483754584799</v>
      </c>
      <c r="D17" s="569">
        <v>5.0614954805690298</v>
      </c>
      <c r="E17" s="569">
        <v>7.15</v>
      </c>
    </row>
    <row r="18" spans="1:5" x14ac:dyDescent="0.2">
      <c r="A18" s="6">
        <v>12</v>
      </c>
      <c r="B18" s="137">
        <v>32142</v>
      </c>
      <c r="C18" s="569">
        <v>1.5321081795373701</v>
      </c>
      <c r="D18" s="569">
        <v>4.8222089717725396</v>
      </c>
      <c r="E18" s="569">
        <v>6.81</v>
      </c>
    </row>
    <row r="19" spans="1:5" x14ac:dyDescent="0.2">
      <c r="A19" s="6">
        <v>13</v>
      </c>
      <c r="B19" s="137">
        <v>32233</v>
      </c>
      <c r="C19" s="569">
        <v>1.4718941325230701</v>
      </c>
      <c r="D19" s="569">
        <v>4.5924482164694203</v>
      </c>
      <c r="E19" s="569">
        <v>6.6</v>
      </c>
    </row>
    <row r="20" spans="1:5" x14ac:dyDescent="0.2">
      <c r="A20" s="6">
        <v>14</v>
      </c>
      <c r="B20" s="137">
        <v>32324</v>
      </c>
      <c r="C20" s="569">
        <v>1.5519702649421501</v>
      </c>
      <c r="D20" s="569">
        <v>4.3802240061237603</v>
      </c>
      <c r="E20" s="569">
        <v>6.97</v>
      </c>
    </row>
    <row r="21" spans="1:5" x14ac:dyDescent="0.2">
      <c r="A21" s="6">
        <v>15</v>
      </c>
      <c r="B21" s="137">
        <v>32416</v>
      </c>
      <c r="C21" s="569">
        <v>1.7551865234669699</v>
      </c>
      <c r="D21" s="569">
        <v>4.1897342314181598</v>
      </c>
      <c r="E21" s="569">
        <v>6.78</v>
      </c>
    </row>
    <row r="22" spans="1:5" x14ac:dyDescent="0.2">
      <c r="A22" s="6">
        <v>16</v>
      </c>
      <c r="B22" s="137">
        <v>32508</v>
      </c>
      <c r="C22" s="569">
        <v>1.8706791944874099</v>
      </c>
      <c r="D22" s="569">
        <v>4.0467552893081002</v>
      </c>
      <c r="E22" s="569">
        <v>6.75</v>
      </c>
    </row>
    <row r="23" spans="1:5" x14ac:dyDescent="0.2">
      <c r="A23" s="6">
        <v>17</v>
      </c>
      <c r="B23" s="137">
        <v>32598</v>
      </c>
      <c r="C23" s="569">
        <v>2.04348930107576</v>
      </c>
      <c r="D23" s="569">
        <v>3.91942263058887</v>
      </c>
      <c r="E23" s="569">
        <v>7.04</v>
      </c>
    </row>
    <row r="24" spans="1:5" x14ac:dyDescent="0.2">
      <c r="A24" s="6">
        <v>18</v>
      </c>
      <c r="B24" s="137">
        <v>32689</v>
      </c>
      <c r="C24" s="569">
        <v>2.15469776069795</v>
      </c>
      <c r="D24" s="569">
        <v>3.8127096785238299</v>
      </c>
      <c r="E24" s="569">
        <v>6.85</v>
      </c>
    </row>
    <row r="25" spans="1:5" x14ac:dyDescent="0.2">
      <c r="A25" s="6">
        <v>19</v>
      </c>
      <c r="B25" s="137">
        <v>32781</v>
      </c>
      <c r="C25" s="569">
        <v>2.1161475632347702</v>
      </c>
      <c r="D25" s="569">
        <v>3.7208749101490102</v>
      </c>
      <c r="E25" s="569">
        <v>7.02</v>
      </c>
    </row>
    <row r="26" spans="1:5" x14ac:dyDescent="0.2">
      <c r="A26" s="6">
        <v>20</v>
      </c>
      <c r="B26" s="137">
        <v>32873</v>
      </c>
      <c r="C26" s="569">
        <v>2.2776755688804702</v>
      </c>
      <c r="D26" s="569">
        <v>3.6464413780242699</v>
      </c>
      <c r="E26" s="569">
        <v>7.38</v>
      </c>
    </row>
    <row r="27" spans="1:5" x14ac:dyDescent="0.2">
      <c r="A27" s="6">
        <v>21</v>
      </c>
      <c r="B27" s="137">
        <v>32963</v>
      </c>
      <c r="C27" s="569">
        <v>2.49885597559626</v>
      </c>
      <c r="D27" s="569">
        <v>3.6013862562930599</v>
      </c>
      <c r="E27" s="569">
        <v>8.5</v>
      </c>
    </row>
    <row r="28" spans="1:5" x14ac:dyDescent="0.2">
      <c r="A28" s="6">
        <v>22</v>
      </c>
      <c r="B28" s="137">
        <v>33054</v>
      </c>
      <c r="C28" s="569">
        <v>2.3928677841830299</v>
      </c>
      <c r="D28" s="569">
        <v>3.53936174015635</v>
      </c>
      <c r="E28" s="569">
        <v>8.7799999999999994</v>
      </c>
    </row>
    <row r="29" spans="1:5" x14ac:dyDescent="0.2">
      <c r="A29" s="6">
        <v>23</v>
      </c>
      <c r="B29" s="137">
        <v>33146</v>
      </c>
      <c r="C29" s="569">
        <v>2.46223225269443</v>
      </c>
      <c r="D29" s="569">
        <v>3.4833675300913902</v>
      </c>
      <c r="E29" s="569">
        <v>9.23</v>
      </c>
    </row>
    <row r="30" spans="1:5" x14ac:dyDescent="0.2">
      <c r="A30" s="6">
        <v>24</v>
      </c>
      <c r="B30" s="137">
        <v>33238</v>
      </c>
      <c r="C30" s="569">
        <v>2.5700897375461902</v>
      </c>
      <c r="D30" s="569">
        <v>3.4705548990564501</v>
      </c>
      <c r="E30" s="569">
        <v>9.09</v>
      </c>
    </row>
    <row r="31" spans="1:5" x14ac:dyDescent="0.2">
      <c r="A31" s="6">
        <v>25</v>
      </c>
      <c r="B31" s="137">
        <v>33328</v>
      </c>
      <c r="C31" s="569">
        <v>2.6546374070204899</v>
      </c>
      <c r="D31" s="569">
        <v>3.4511359642133801</v>
      </c>
      <c r="E31" s="569">
        <v>8.4700000000000006</v>
      </c>
    </row>
    <row r="32" spans="1:5" x14ac:dyDescent="0.2">
      <c r="A32" s="6">
        <v>26</v>
      </c>
      <c r="B32" s="137">
        <v>33419</v>
      </c>
      <c r="C32" s="569">
        <v>2.72592905760825</v>
      </c>
      <c r="D32" s="569">
        <v>3.4627689245233002</v>
      </c>
      <c r="E32" s="569">
        <v>8.41</v>
      </c>
    </row>
    <row r="33" spans="1:7" x14ac:dyDescent="0.2">
      <c r="A33" s="6">
        <v>27</v>
      </c>
      <c r="B33" s="137">
        <v>33511</v>
      </c>
      <c r="C33" s="569">
        <v>2.78120979819457</v>
      </c>
      <c r="D33" s="569">
        <v>3.51609150080577</v>
      </c>
      <c r="E33" s="569">
        <v>8.26</v>
      </c>
    </row>
    <row r="34" spans="1:7" x14ac:dyDescent="0.2">
      <c r="A34" s="6">
        <v>28</v>
      </c>
      <c r="B34" s="137">
        <v>33603</v>
      </c>
      <c r="C34" s="569">
        <v>2.8505344409453701</v>
      </c>
      <c r="D34" s="569">
        <v>3.53581278409948</v>
      </c>
      <c r="E34" s="569">
        <v>7.91</v>
      </c>
    </row>
    <row r="35" spans="1:7" x14ac:dyDescent="0.2">
      <c r="A35" s="6">
        <v>29</v>
      </c>
      <c r="B35" s="137">
        <v>33694</v>
      </c>
      <c r="C35" s="569">
        <v>2.9989192906857798</v>
      </c>
      <c r="D35" s="569">
        <v>3.53977948515077</v>
      </c>
      <c r="E35" s="569">
        <v>7.73</v>
      </c>
    </row>
    <row r="36" spans="1:7" x14ac:dyDescent="0.2">
      <c r="A36" s="6">
        <v>30</v>
      </c>
      <c r="B36" s="137">
        <v>33785</v>
      </c>
      <c r="C36" s="569">
        <v>2.6293124120699698</v>
      </c>
      <c r="D36" s="569">
        <v>3.5319472761472799</v>
      </c>
      <c r="E36" s="569">
        <v>7.92</v>
      </c>
    </row>
    <row r="37" spans="1:7" x14ac:dyDescent="0.2">
      <c r="A37" s="6">
        <v>31</v>
      </c>
      <c r="B37" s="137">
        <v>33877</v>
      </c>
      <c r="C37" s="569">
        <v>2.4165790022948102</v>
      </c>
      <c r="D37" s="569">
        <v>3.4852473802308799</v>
      </c>
      <c r="E37" s="569">
        <v>7.46</v>
      </c>
      <c r="G37" s="60" t="s">
        <v>1268</v>
      </c>
    </row>
    <row r="38" spans="1:7" x14ac:dyDescent="0.2">
      <c r="A38" s="6">
        <v>32</v>
      </c>
      <c r="B38" s="137">
        <v>33969</v>
      </c>
      <c r="C38" s="569">
        <v>2.3809781961261201</v>
      </c>
      <c r="D38" s="569">
        <v>3.45503563216726</v>
      </c>
      <c r="E38" s="569">
        <v>7.06</v>
      </c>
    </row>
    <row r="39" spans="1:7" x14ac:dyDescent="0.2">
      <c r="A39" s="6">
        <v>33</v>
      </c>
      <c r="B39" s="137">
        <v>34059</v>
      </c>
      <c r="C39" s="569">
        <v>2.3396328596518998</v>
      </c>
      <c r="D39" s="569">
        <v>3.4870507162423099</v>
      </c>
      <c r="E39" s="569">
        <v>6.75</v>
      </c>
    </row>
    <row r="40" spans="1:7" x14ac:dyDescent="0.2">
      <c r="A40" s="6">
        <v>34</v>
      </c>
      <c r="B40" s="137">
        <v>34150</v>
      </c>
      <c r="C40" s="569">
        <v>2.3365769172795301</v>
      </c>
      <c r="D40" s="569">
        <v>3.4791817737710198</v>
      </c>
      <c r="E40" s="569">
        <v>6.73</v>
      </c>
    </row>
    <row r="41" spans="1:7" x14ac:dyDescent="0.2">
      <c r="A41" s="6">
        <v>35</v>
      </c>
      <c r="B41" s="137">
        <v>34242</v>
      </c>
      <c r="C41" s="569">
        <v>2.3937368745089298</v>
      </c>
      <c r="D41" s="569">
        <v>3.4818524783654499</v>
      </c>
      <c r="E41" s="569">
        <v>6.24</v>
      </c>
    </row>
    <row r="42" spans="1:7" x14ac:dyDescent="0.2">
      <c r="A42" s="6">
        <v>36</v>
      </c>
      <c r="B42" s="137">
        <v>34334</v>
      </c>
      <c r="C42" s="569">
        <v>2.3108893517812898</v>
      </c>
      <c r="D42" s="569">
        <v>3.4730357813970798</v>
      </c>
      <c r="E42" s="569">
        <v>5.84</v>
      </c>
    </row>
    <row r="43" spans="1:7" x14ac:dyDescent="0.2">
      <c r="A43" s="6">
        <v>37</v>
      </c>
      <c r="B43" s="137">
        <v>34424</v>
      </c>
      <c r="C43" s="569">
        <v>2.28561814099334</v>
      </c>
      <c r="D43" s="569">
        <v>3.4232711369973501</v>
      </c>
      <c r="E43" s="569">
        <v>6.67</v>
      </c>
    </row>
    <row r="44" spans="1:7" x14ac:dyDescent="0.2">
      <c r="A44" s="6">
        <v>38</v>
      </c>
      <c r="B44" s="137">
        <v>34515</v>
      </c>
      <c r="C44" s="569">
        <v>2.2951891690603099</v>
      </c>
      <c r="D44" s="569">
        <v>3.3959702960869702</v>
      </c>
      <c r="E44" s="569">
        <v>7.29</v>
      </c>
    </row>
    <row r="45" spans="1:7" x14ac:dyDescent="0.2">
      <c r="A45" s="6">
        <v>39</v>
      </c>
      <c r="B45" s="137">
        <v>34607</v>
      </c>
      <c r="C45" s="569">
        <v>2.37085551717729</v>
      </c>
      <c r="D45" s="569">
        <v>3.3794291020831402</v>
      </c>
      <c r="E45" s="569">
        <v>7.81</v>
      </c>
    </row>
    <row r="46" spans="1:7" x14ac:dyDescent="0.2">
      <c r="A46" s="6">
        <v>40</v>
      </c>
      <c r="B46" s="137">
        <v>34699</v>
      </c>
      <c r="C46" s="569">
        <v>2.3681654118898199</v>
      </c>
      <c r="D46" s="569">
        <v>3.3504274249043902</v>
      </c>
      <c r="E46" s="569">
        <v>7.81</v>
      </c>
    </row>
    <row r="47" spans="1:7" x14ac:dyDescent="0.2">
      <c r="A47" s="6">
        <v>41</v>
      </c>
      <c r="B47" s="137">
        <v>34789</v>
      </c>
      <c r="C47" s="569">
        <v>2.2988582676234302</v>
      </c>
      <c r="D47" s="569">
        <v>3.3079047310603</v>
      </c>
      <c r="E47" s="569">
        <v>7.48</v>
      </c>
    </row>
    <row r="48" spans="1:7" x14ac:dyDescent="0.2">
      <c r="A48" s="6">
        <v>42</v>
      </c>
      <c r="B48" s="137">
        <v>34880</v>
      </c>
      <c r="C48" s="569">
        <v>2.26712026938322</v>
      </c>
      <c r="D48" s="569">
        <v>3.2670957159972298</v>
      </c>
      <c r="E48" s="569">
        <v>7.35</v>
      </c>
    </row>
    <row r="49" spans="1:5" x14ac:dyDescent="0.2">
      <c r="A49" s="6">
        <v>43</v>
      </c>
      <c r="B49" s="137">
        <v>34972</v>
      </c>
      <c r="C49" s="569">
        <v>2.2004392572762499</v>
      </c>
      <c r="D49" s="569">
        <v>3.2325554342382001</v>
      </c>
      <c r="E49" s="569">
        <v>7.08</v>
      </c>
    </row>
    <row r="50" spans="1:5" x14ac:dyDescent="0.2">
      <c r="A50" s="6">
        <v>44</v>
      </c>
      <c r="B50" s="137">
        <v>35064</v>
      </c>
      <c r="C50" s="569">
        <v>2.1163279987430901</v>
      </c>
      <c r="D50" s="569">
        <v>3.1821065789170699</v>
      </c>
      <c r="E50" s="569">
        <v>6.4</v>
      </c>
    </row>
    <row r="51" spans="1:5" x14ac:dyDescent="0.2">
      <c r="A51" s="6">
        <v>45</v>
      </c>
      <c r="B51" s="137">
        <v>35155</v>
      </c>
      <c r="C51" s="569">
        <v>2.0724061498793298</v>
      </c>
      <c r="D51" s="569">
        <v>3.1353831189792598</v>
      </c>
      <c r="E51" s="569">
        <v>6.81</v>
      </c>
    </row>
    <row r="52" spans="1:5" x14ac:dyDescent="0.2">
      <c r="A52" s="6">
        <v>46</v>
      </c>
      <c r="B52" s="137">
        <v>35246</v>
      </c>
      <c r="C52" s="569">
        <v>2.0884884772846002</v>
      </c>
      <c r="D52" s="569">
        <v>3.0709570741771199</v>
      </c>
      <c r="E52" s="569">
        <v>6.9</v>
      </c>
    </row>
    <row r="53" spans="1:5" x14ac:dyDescent="0.2">
      <c r="A53" s="6">
        <v>47</v>
      </c>
      <c r="B53" s="137">
        <v>35338</v>
      </c>
      <c r="C53" s="569">
        <v>1.90936693624041</v>
      </c>
      <c r="D53" s="569">
        <v>2.95105929651392</v>
      </c>
      <c r="E53" s="569">
        <v>6.45</v>
      </c>
    </row>
    <row r="54" spans="1:5" x14ac:dyDescent="0.2">
      <c r="A54" s="6">
        <v>48</v>
      </c>
      <c r="B54" s="137">
        <v>35430</v>
      </c>
      <c r="C54" s="569">
        <v>1.8394583289413899</v>
      </c>
      <c r="D54" s="569">
        <v>2.8413681224159899</v>
      </c>
      <c r="E54" s="569">
        <v>6.18</v>
      </c>
    </row>
    <row r="55" spans="1:5" x14ac:dyDescent="0.2">
      <c r="A55" s="6">
        <v>49</v>
      </c>
      <c r="B55" s="137">
        <v>35520</v>
      </c>
      <c r="C55" s="569">
        <v>1.7980805854184101</v>
      </c>
      <c r="D55" s="569">
        <v>2.7580514379723602</v>
      </c>
      <c r="E55" s="569">
        <v>6.18</v>
      </c>
    </row>
    <row r="56" spans="1:5" x14ac:dyDescent="0.2">
      <c r="A56" s="6">
        <v>50</v>
      </c>
      <c r="B56" s="137">
        <v>35611</v>
      </c>
      <c r="C56" s="569">
        <v>1.9130088131779901</v>
      </c>
      <c r="D56" s="569">
        <v>2.65182051002785</v>
      </c>
      <c r="E56" s="569">
        <v>5.96</v>
      </c>
    </row>
    <row r="57" spans="1:5" x14ac:dyDescent="0.2">
      <c r="A57" s="6">
        <v>51</v>
      </c>
      <c r="B57" s="137">
        <v>35703</v>
      </c>
      <c r="C57" s="569">
        <v>1.9995462457014199</v>
      </c>
      <c r="D57" s="569">
        <v>2.57649373016126</v>
      </c>
      <c r="E57" s="569">
        <v>5.72</v>
      </c>
    </row>
    <row r="58" spans="1:5" x14ac:dyDescent="0.2">
      <c r="A58" s="6">
        <v>52</v>
      </c>
      <c r="B58" s="137">
        <v>35795</v>
      </c>
      <c r="C58" s="569">
        <v>2.09539147886285</v>
      </c>
      <c r="D58" s="569">
        <v>2.50844938011448</v>
      </c>
      <c r="E58" s="569">
        <v>5.48</v>
      </c>
    </row>
    <row r="59" spans="1:5" x14ac:dyDescent="0.2">
      <c r="A59" s="6">
        <v>53</v>
      </c>
      <c r="B59" s="137">
        <v>35885</v>
      </c>
      <c r="C59" s="569">
        <v>1.99565427799349</v>
      </c>
      <c r="D59" s="569">
        <v>2.4255037047010801</v>
      </c>
      <c r="E59" s="569">
        <v>5.0599999999999996</v>
      </c>
    </row>
    <row r="60" spans="1:5" x14ac:dyDescent="0.2">
      <c r="A60" s="6">
        <v>54</v>
      </c>
      <c r="B60" s="137">
        <v>35976</v>
      </c>
      <c r="C60" s="569">
        <v>2.0221756397812798</v>
      </c>
      <c r="D60" s="569">
        <v>2.36679115490446</v>
      </c>
      <c r="E60" s="569">
        <v>5</v>
      </c>
    </row>
    <row r="61" spans="1:5" x14ac:dyDescent="0.2">
      <c r="A61" s="6">
        <v>55</v>
      </c>
      <c r="B61" s="137">
        <v>36068</v>
      </c>
      <c r="C61" s="569">
        <v>1.97549249282933</v>
      </c>
      <c r="D61" s="569">
        <v>2.2934450464290101</v>
      </c>
      <c r="E61" s="569">
        <v>4.18</v>
      </c>
    </row>
    <row r="62" spans="1:5" x14ac:dyDescent="0.2">
      <c r="A62" s="6">
        <v>56</v>
      </c>
      <c r="B62" s="137">
        <v>36160</v>
      </c>
      <c r="C62" s="569">
        <v>1.75694809976005</v>
      </c>
      <c r="D62" s="569">
        <v>2.17854613663458</v>
      </c>
      <c r="E62" s="569">
        <v>4.0999999999999996</v>
      </c>
    </row>
    <row r="63" spans="1:5" x14ac:dyDescent="0.2">
      <c r="A63" s="6">
        <v>57</v>
      </c>
      <c r="B63" s="137">
        <v>36250</v>
      </c>
      <c r="C63" s="569">
        <v>1.8079477702842299</v>
      </c>
      <c r="D63" s="569">
        <v>2.0606684681260701</v>
      </c>
      <c r="E63" s="569">
        <v>4.25</v>
      </c>
    </row>
    <row r="64" spans="1:5" x14ac:dyDescent="0.2">
      <c r="A64" s="6">
        <v>58</v>
      </c>
      <c r="B64" s="137">
        <v>36341</v>
      </c>
      <c r="C64" s="569">
        <v>1.7263148527918499</v>
      </c>
      <c r="D64" s="569">
        <v>1.94258910961655</v>
      </c>
      <c r="E64" s="569">
        <v>4.76</v>
      </c>
    </row>
    <row r="65" spans="1:5" x14ac:dyDescent="0.2">
      <c r="A65" s="6">
        <v>59</v>
      </c>
      <c r="B65" s="137">
        <v>36433</v>
      </c>
      <c r="C65" s="569">
        <v>1.8267704157689999</v>
      </c>
      <c r="D65" s="569">
        <v>1.84228491861703</v>
      </c>
      <c r="E65" s="569">
        <v>5.34</v>
      </c>
    </row>
    <row r="66" spans="1:5" x14ac:dyDescent="0.2">
      <c r="A66" s="6">
        <v>60</v>
      </c>
      <c r="B66" s="137">
        <v>36525</v>
      </c>
      <c r="C66" s="569">
        <v>2.0109610739625499</v>
      </c>
      <c r="D66" s="569">
        <v>1.7700516739672201</v>
      </c>
      <c r="E66" s="569">
        <v>5.46</v>
      </c>
    </row>
    <row r="67" spans="1:5" x14ac:dyDescent="0.2">
      <c r="A67" s="6">
        <v>61</v>
      </c>
      <c r="B67" s="137">
        <v>36616</v>
      </c>
      <c r="C67" s="569">
        <v>2.0320727683528399</v>
      </c>
      <c r="D67" s="569">
        <v>1.6953679041929901</v>
      </c>
      <c r="E67" s="569">
        <v>5.32</v>
      </c>
    </row>
    <row r="68" spans="1:5" x14ac:dyDescent="0.2">
      <c r="A68" s="6">
        <v>62</v>
      </c>
      <c r="B68" s="137">
        <v>36707</v>
      </c>
      <c r="C68" s="569">
        <v>2.0206030005958899</v>
      </c>
      <c r="D68" s="569">
        <v>1.6174005164924601</v>
      </c>
      <c r="E68" s="569">
        <v>5.34</v>
      </c>
    </row>
    <row r="69" spans="1:5" x14ac:dyDescent="0.2">
      <c r="A69" s="6">
        <v>63</v>
      </c>
      <c r="B69" s="137">
        <v>36799</v>
      </c>
      <c r="C69" s="569">
        <v>2.2199721904469301</v>
      </c>
      <c r="D69" s="569">
        <v>1.6051728068692299</v>
      </c>
      <c r="E69" s="569">
        <v>5.31</v>
      </c>
    </row>
    <row r="70" spans="1:5" x14ac:dyDescent="0.2">
      <c r="A70" s="6">
        <v>64</v>
      </c>
      <c r="B70" s="137">
        <v>36891</v>
      </c>
      <c r="C70" s="569">
        <v>2.35998072670274</v>
      </c>
      <c r="D70" s="569">
        <v>1.60978553413256</v>
      </c>
      <c r="E70" s="569">
        <v>4.96</v>
      </c>
    </row>
    <row r="71" spans="1:5" x14ac:dyDescent="0.2">
      <c r="A71" s="6">
        <v>65</v>
      </c>
      <c r="B71" s="137">
        <v>36981</v>
      </c>
      <c r="C71" s="569">
        <v>2.5481907452961501</v>
      </c>
      <c r="D71" s="569">
        <v>1.6365656895798699</v>
      </c>
      <c r="E71" s="569">
        <v>4.82</v>
      </c>
    </row>
    <row r="72" spans="1:5" x14ac:dyDescent="0.2">
      <c r="A72" s="6">
        <v>66</v>
      </c>
      <c r="B72" s="137">
        <v>37072</v>
      </c>
      <c r="C72" s="569">
        <v>2.7387533487736699</v>
      </c>
      <c r="D72" s="569">
        <v>1.7311455467766399</v>
      </c>
      <c r="E72" s="569">
        <v>5.22</v>
      </c>
    </row>
    <row r="73" spans="1:5" x14ac:dyDescent="0.2">
      <c r="A73" s="6">
        <v>67</v>
      </c>
      <c r="B73" s="137">
        <v>37164</v>
      </c>
      <c r="C73" s="569">
        <v>2.5561830846075599</v>
      </c>
      <c r="D73" s="569">
        <v>1.7812558561418901</v>
      </c>
      <c r="E73" s="569">
        <v>4.99</v>
      </c>
    </row>
    <row r="74" spans="1:5" x14ac:dyDescent="0.2">
      <c r="A74" s="6">
        <v>68</v>
      </c>
      <c r="B74" s="137">
        <v>37256</v>
      </c>
      <c r="C74" s="569">
        <v>2.5321803462333898</v>
      </c>
      <c r="D74" s="569">
        <v>1.82614900416792</v>
      </c>
      <c r="E74" s="569">
        <v>5.12</v>
      </c>
    </row>
    <row r="75" spans="1:5" x14ac:dyDescent="0.2">
      <c r="A75" s="6">
        <v>69</v>
      </c>
      <c r="B75" s="137">
        <v>37346</v>
      </c>
      <c r="C75" s="569">
        <v>2.5399121940171301</v>
      </c>
      <c r="D75" s="569">
        <v>1.8830239305449299</v>
      </c>
      <c r="E75" s="569">
        <v>5.35</v>
      </c>
    </row>
    <row r="76" spans="1:5" x14ac:dyDescent="0.2">
      <c r="A76" s="6">
        <v>70</v>
      </c>
      <c r="B76" s="137">
        <v>37437</v>
      </c>
      <c r="C76" s="569">
        <v>2.3115865336099199</v>
      </c>
      <c r="D76" s="569">
        <v>1.8758159294341401</v>
      </c>
      <c r="E76" s="569">
        <v>5.07</v>
      </c>
    </row>
    <row r="77" spans="1:5" x14ac:dyDescent="0.2">
      <c r="A77" s="6">
        <v>71</v>
      </c>
      <c r="B77" s="137">
        <v>37529</v>
      </c>
      <c r="C77" s="569">
        <v>2.1988890383323101</v>
      </c>
      <c r="D77" s="569">
        <v>1.8628154833391299</v>
      </c>
      <c r="E77" s="569">
        <v>4.4800000000000004</v>
      </c>
    </row>
    <row r="78" spans="1:5" x14ac:dyDescent="0.2">
      <c r="A78" s="6">
        <v>72</v>
      </c>
      <c r="B78" s="137">
        <v>37621</v>
      </c>
      <c r="C78" s="569">
        <v>2.10738829330842</v>
      </c>
      <c r="D78" s="569">
        <v>1.8623961237473401</v>
      </c>
      <c r="E78" s="569">
        <v>4.4000000000000004</v>
      </c>
    </row>
    <row r="79" spans="1:5" x14ac:dyDescent="0.2">
      <c r="A79" s="6">
        <v>73</v>
      </c>
      <c r="B79" s="137">
        <v>37711</v>
      </c>
      <c r="C79" s="569">
        <v>1.9236271794762501</v>
      </c>
      <c r="D79" s="569">
        <v>1.8590506735039101</v>
      </c>
      <c r="E79" s="569">
        <v>4.25</v>
      </c>
    </row>
    <row r="80" spans="1:5" x14ac:dyDescent="0.2">
      <c r="A80" s="6">
        <v>74</v>
      </c>
      <c r="B80" s="137">
        <v>37802</v>
      </c>
      <c r="C80" s="569">
        <v>1.90993624802997</v>
      </c>
      <c r="D80" s="569">
        <v>1.86734372019223</v>
      </c>
      <c r="E80" s="569">
        <v>4.09</v>
      </c>
    </row>
    <row r="81" spans="1:5" x14ac:dyDescent="0.2">
      <c r="A81" s="6">
        <v>75</v>
      </c>
      <c r="B81" s="137">
        <v>37894</v>
      </c>
      <c r="C81" s="569">
        <v>1.98272033858479</v>
      </c>
      <c r="D81" s="569">
        <v>1.87751848145068</v>
      </c>
      <c r="E81" s="569">
        <v>4.26</v>
      </c>
    </row>
    <row r="82" spans="1:5" x14ac:dyDescent="0.2">
      <c r="A82" s="6">
        <v>76</v>
      </c>
      <c r="B82" s="137">
        <v>37986</v>
      </c>
      <c r="C82" s="569">
        <v>2.0333667994382898</v>
      </c>
      <c r="D82" s="569">
        <v>1.88556232281281</v>
      </c>
      <c r="E82" s="569">
        <v>4.4800000000000004</v>
      </c>
    </row>
    <row r="83" spans="1:5" x14ac:dyDescent="0.2">
      <c r="A83" s="6">
        <v>77</v>
      </c>
      <c r="B83" s="137">
        <v>38077</v>
      </c>
      <c r="C83" s="569">
        <v>1.9992944478738699</v>
      </c>
      <c r="D83" s="569">
        <v>1.90197509908305</v>
      </c>
      <c r="E83" s="569">
        <v>4.18</v>
      </c>
    </row>
    <row r="84" spans="1:5" x14ac:dyDescent="0.2">
      <c r="A84" s="6">
        <v>78</v>
      </c>
      <c r="B84" s="137">
        <v>38168</v>
      </c>
      <c r="C84" s="569">
        <v>1.96019846650672</v>
      </c>
      <c r="D84" s="569">
        <v>1.9173682093342299</v>
      </c>
      <c r="E84" s="569">
        <v>4.49</v>
      </c>
    </row>
    <row r="85" spans="1:5" x14ac:dyDescent="0.2">
      <c r="A85" s="6">
        <v>79</v>
      </c>
      <c r="B85" s="137">
        <v>38260</v>
      </c>
      <c r="C85" s="569">
        <v>1.76705093863714</v>
      </c>
      <c r="D85" s="569">
        <v>1.9013839279381699</v>
      </c>
      <c r="E85" s="569">
        <v>4.13</v>
      </c>
    </row>
    <row r="86" spans="1:5" x14ac:dyDescent="0.2">
      <c r="A86" s="6">
        <v>80</v>
      </c>
      <c r="B86" s="137">
        <v>38352</v>
      </c>
      <c r="C86" s="569">
        <v>1.6215134535912299</v>
      </c>
      <c r="D86" s="569">
        <v>1.8716170530865399</v>
      </c>
      <c r="E86" s="569">
        <v>3.79</v>
      </c>
    </row>
    <row r="87" spans="1:5" x14ac:dyDescent="0.2">
      <c r="A87" s="6">
        <v>81</v>
      </c>
      <c r="B87" s="137">
        <v>38442</v>
      </c>
      <c r="C87" s="569">
        <v>1.51563446309501</v>
      </c>
      <c r="D87" s="569">
        <v>1.8410917865985099</v>
      </c>
      <c r="E87" s="569">
        <v>3.78</v>
      </c>
    </row>
    <row r="88" spans="1:5" x14ac:dyDescent="0.2">
      <c r="A88" s="6">
        <v>82</v>
      </c>
      <c r="B88" s="137">
        <v>38533</v>
      </c>
      <c r="C88" s="569">
        <v>1.5355387933487601</v>
      </c>
      <c r="D88" s="569">
        <v>1.8085682181917799</v>
      </c>
      <c r="E88" s="569">
        <v>3.24</v>
      </c>
    </row>
    <row r="89" spans="1:5" x14ac:dyDescent="0.2">
      <c r="A89" s="6">
        <v>83</v>
      </c>
      <c r="B89" s="137">
        <v>38625</v>
      </c>
      <c r="C89" s="569">
        <v>1.58733193536579</v>
      </c>
      <c r="D89" s="569">
        <v>1.78690880453842</v>
      </c>
      <c r="E89" s="569">
        <v>3.26</v>
      </c>
    </row>
    <row r="90" spans="1:5" x14ac:dyDescent="0.2">
      <c r="A90" s="6">
        <v>84</v>
      </c>
      <c r="B90" s="137">
        <v>38717</v>
      </c>
      <c r="C90" s="569">
        <v>1.6271317737869699</v>
      </c>
      <c r="D90" s="569">
        <v>1.7719430204353801</v>
      </c>
      <c r="E90" s="569">
        <v>3.34</v>
      </c>
    </row>
    <row r="91" spans="1:5" x14ac:dyDescent="0.2">
      <c r="A91" s="6">
        <v>85</v>
      </c>
      <c r="B91" s="137">
        <v>38807</v>
      </c>
      <c r="C91" s="569">
        <v>1.66374094506059</v>
      </c>
      <c r="D91" s="569">
        <v>1.7505416892017001</v>
      </c>
      <c r="E91" s="569">
        <v>3.84</v>
      </c>
    </row>
    <row r="92" spans="1:5" x14ac:dyDescent="0.2">
      <c r="A92" s="6">
        <v>86</v>
      </c>
      <c r="B92" s="137">
        <v>38898</v>
      </c>
      <c r="C92" s="569">
        <v>1.86181783084907</v>
      </c>
      <c r="D92" s="569">
        <v>1.7682514277558301</v>
      </c>
      <c r="E92" s="569">
        <v>4.17</v>
      </c>
    </row>
    <row r="93" spans="1:5" x14ac:dyDescent="0.2">
      <c r="A93" s="6">
        <v>87</v>
      </c>
      <c r="B93" s="137">
        <v>38990</v>
      </c>
      <c r="C93" s="569">
        <v>1.91703566294643</v>
      </c>
      <c r="D93" s="569">
        <v>1.8009817179902601</v>
      </c>
      <c r="E93" s="569">
        <v>3.73</v>
      </c>
    </row>
    <row r="94" spans="1:5" x14ac:dyDescent="0.2">
      <c r="A94" s="6">
        <v>88</v>
      </c>
      <c r="B94" s="137">
        <v>39082</v>
      </c>
      <c r="C94" s="569">
        <v>2.0001374464901698</v>
      </c>
      <c r="D94" s="569">
        <v>1.82308180039228</v>
      </c>
      <c r="E94" s="569">
        <v>3.99</v>
      </c>
    </row>
    <row r="95" spans="1:5" x14ac:dyDescent="0.2">
      <c r="A95" s="6">
        <v>89</v>
      </c>
      <c r="B95" s="137">
        <v>39172</v>
      </c>
      <c r="C95" s="569">
        <v>2.0228233953177002</v>
      </c>
      <c r="D95" s="569">
        <v>1.8483733913004801</v>
      </c>
      <c r="E95" s="569">
        <v>4.1100000000000003</v>
      </c>
    </row>
    <row r="96" spans="1:5" x14ac:dyDescent="0.2">
      <c r="A96" s="6">
        <v>90</v>
      </c>
      <c r="B96" s="137">
        <v>39263</v>
      </c>
      <c r="C96" s="569">
        <v>2.0389811640214899</v>
      </c>
      <c r="D96" s="569">
        <v>1.87439497677708</v>
      </c>
      <c r="E96" s="569">
        <v>4.6100000000000003</v>
      </c>
    </row>
    <row r="97" spans="1:5" x14ac:dyDescent="0.2">
      <c r="A97" s="6">
        <v>91</v>
      </c>
      <c r="B97" s="137">
        <v>39355</v>
      </c>
      <c r="C97" s="569">
        <v>2.0475675225734702</v>
      </c>
      <c r="D97" s="569">
        <v>1.9091907812231399</v>
      </c>
      <c r="E97" s="569">
        <v>4.43</v>
      </c>
    </row>
    <row r="98" spans="1:5" x14ac:dyDescent="0.2">
      <c r="A98" s="6">
        <v>92</v>
      </c>
      <c r="B98" s="137">
        <v>39447</v>
      </c>
      <c r="C98" s="569">
        <v>2.2658077398774901</v>
      </c>
      <c r="D98" s="569">
        <v>1.99345844304439</v>
      </c>
      <c r="E98" s="569">
        <v>4.46</v>
      </c>
    </row>
    <row r="99" spans="1:5" x14ac:dyDescent="0.2">
      <c r="A99" s="6">
        <v>93</v>
      </c>
      <c r="B99" s="137">
        <v>39538</v>
      </c>
      <c r="C99" s="569">
        <v>2.3396735367627999</v>
      </c>
      <c r="D99" s="569">
        <v>2.0597504543180598</v>
      </c>
      <c r="E99" s="569">
        <v>4.12</v>
      </c>
    </row>
    <row r="100" spans="1:5" x14ac:dyDescent="0.2">
      <c r="A100" s="6">
        <v>94</v>
      </c>
      <c r="B100" s="137">
        <v>39629</v>
      </c>
      <c r="C100" s="569">
        <v>1.98646607135161</v>
      </c>
      <c r="D100" s="569">
        <v>2.0753751032976901</v>
      </c>
      <c r="E100" s="569">
        <v>4.72</v>
      </c>
    </row>
    <row r="101" spans="1:5" x14ac:dyDescent="0.2">
      <c r="A101" s="6">
        <v>95</v>
      </c>
      <c r="B101" s="137">
        <v>39721</v>
      </c>
      <c r="C101" s="569">
        <v>1.7679277803904001</v>
      </c>
      <c r="D101" s="569">
        <v>2.0828929075047999</v>
      </c>
      <c r="E101" s="569">
        <v>4.25</v>
      </c>
    </row>
    <row r="102" spans="1:5" x14ac:dyDescent="0.2">
      <c r="A102" s="6">
        <v>96</v>
      </c>
      <c r="B102" s="137">
        <v>39813</v>
      </c>
      <c r="C102" s="569">
        <v>1.1813357499446999</v>
      </c>
      <c r="D102" s="569">
        <v>2.03953938554241</v>
      </c>
      <c r="E102" s="569">
        <v>3.28</v>
      </c>
    </row>
    <row r="103" spans="1:5" x14ac:dyDescent="0.2">
      <c r="A103" s="6">
        <v>97</v>
      </c>
      <c r="B103" s="137">
        <v>39903</v>
      </c>
      <c r="C103" s="569">
        <v>0.37442268819931601</v>
      </c>
      <c r="D103" s="569">
        <v>1.9664159532848</v>
      </c>
      <c r="E103" s="569">
        <v>3.43</v>
      </c>
    </row>
    <row r="104" spans="1:5" x14ac:dyDescent="0.2">
      <c r="A104" s="6">
        <v>98</v>
      </c>
      <c r="B104" s="137">
        <v>39994</v>
      </c>
      <c r="C104" s="569">
        <v>0.41506058245044303</v>
      </c>
      <c r="D104" s="569">
        <v>1.87340366424252</v>
      </c>
      <c r="E104" s="569">
        <v>3.74</v>
      </c>
    </row>
    <row r="105" spans="1:5" x14ac:dyDescent="0.2">
      <c r="A105" s="6">
        <v>99</v>
      </c>
      <c r="B105" s="137">
        <v>40086</v>
      </c>
      <c r="C105" s="569">
        <v>0.51219332945749296</v>
      </c>
      <c r="D105" s="569">
        <v>1.77968342061931</v>
      </c>
      <c r="E105" s="569">
        <v>3.49</v>
      </c>
    </row>
    <row r="106" spans="1:5" x14ac:dyDescent="0.2">
      <c r="A106" s="6">
        <v>100</v>
      </c>
      <c r="B106" s="137">
        <v>40178</v>
      </c>
      <c r="C106" s="569">
        <v>0.62478593500919399</v>
      </c>
      <c r="D106" s="569">
        <v>1.71506889188487</v>
      </c>
      <c r="E106" s="569">
        <v>3.63</v>
      </c>
    </row>
    <row r="107" spans="1:5" x14ac:dyDescent="0.2">
      <c r="A107" s="6">
        <v>101</v>
      </c>
      <c r="B107" s="137">
        <v>40268</v>
      </c>
      <c r="C107" s="569">
        <v>0.65716045571815795</v>
      </c>
      <c r="D107" s="569">
        <v>1.6623872911361599</v>
      </c>
      <c r="E107" s="569">
        <v>3.37</v>
      </c>
    </row>
    <row r="108" spans="1:5" x14ac:dyDescent="0.2">
      <c r="A108" s="6">
        <v>102</v>
      </c>
      <c r="B108" s="137">
        <v>40359</v>
      </c>
      <c r="C108" s="569">
        <v>0.84290549352065303</v>
      </c>
      <c r="D108" s="569">
        <v>1.62575532718894</v>
      </c>
      <c r="E108" s="569">
        <v>2.82</v>
      </c>
    </row>
    <row r="109" spans="1:5" x14ac:dyDescent="0.2">
      <c r="A109" s="6">
        <v>103</v>
      </c>
      <c r="B109" s="137">
        <v>40451</v>
      </c>
      <c r="C109" s="569">
        <v>0.90968435112839097</v>
      </c>
      <c r="D109" s="569">
        <v>1.6160968518869601</v>
      </c>
      <c r="E109" s="569">
        <v>2.42</v>
      </c>
    </row>
    <row r="110" spans="1:5" x14ac:dyDescent="0.2">
      <c r="A110" s="6">
        <v>104</v>
      </c>
      <c r="B110" s="137">
        <v>40543</v>
      </c>
      <c r="C110" s="569">
        <v>0.88612295742402603</v>
      </c>
      <c r="D110" s="569">
        <v>1.59102011814952</v>
      </c>
      <c r="E110" s="569">
        <v>3.19</v>
      </c>
    </row>
    <row r="111" spans="1:5" x14ac:dyDescent="0.2">
      <c r="A111" s="6">
        <v>105</v>
      </c>
      <c r="B111" s="137">
        <v>40633</v>
      </c>
      <c r="C111" s="569">
        <v>1.04226642111097</v>
      </c>
      <c r="D111" s="569">
        <v>1.5906562874710699</v>
      </c>
      <c r="E111" s="569">
        <v>3.54</v>
      </c>
    </row>
    <row r="112" spans="1:5" x14ac:dyDescent="0.2">
      <c r="A112" s="6">
        <v>106</v>
      </c>
      <c r="B112" s="137">
        <v>40724</v>
      </c>
      <c r="C112" s="569">
        <v>1.0054526809595601</v>
      </c>
      <c r="D112" s="569">
        <v>1.6180759533053799</v>
      </c>
      <c r="E112" s="569">
        <v>3.16</v>
      </c>
    </row>
    <row r="113" spans="1:5" x14ac:dyDescent="0.2">
      <c r="A113" s="6">
        <v>107</v>
      </c>
      <c r="B113" s="137">
        <v>40816</v>
      </c>
      <c r="C113" s="569">
        <v>0.82969032185253699</v>
      </c>
      <c r="D113" s="569">
        <v>1.61760814019303</v>
      </c>
      <c r="E113" s="569">
        <v>2.11</v>
      </c>
    </row>
    <row r="114" spans="1:5" x14ac:dyDescent="0.2">
      <c r="A114" s="6">
        <v>108</v>
      </c>
      <c r="B114" s="137">
        <v>40908</v>
      </c>
      <c r="C114" s="569">
        <v>0.76190851288932604</v>
      </c>
      <c r="D114" s="569">
        <v>1.63941608142674</v>
      </c>
      <c r="E114" s="569">
        <v>1.99</v>
      </c>
    </row>
    <row r="115" spans="1:5" x14ac:dyDescent="0.2">
      <c r="A115" s="6">
        <v>109</v>
      </c>
      <c r="B115" s="137">
        <v>40999</v>
      </c>
      <c r="C115" s="569">
        <v>0.66046540903032402</v>
      </c>
      <c r="D115" s="569">
        <v>1.6549670874122699</v>
      </c>
      <c r="E115" s="569">
        <v>1.99</v>
      </c>
    </row>
    <row r="116" spans="1:5" x14ac:dyDescent="0.2">
      <c r="A116" s="6">
        <v>110</v>
      </c>
      <c r="B116" s="137">
        <v>41090</v>
      </c>
      <c r="C116" s="569">
        <v>0.51039907340687096</v>
      </c>
      <c r="D116" s="569">
        <v>1.6685582248303401</v>
      </c>
      <c r="E116" s="569">
        <v>1.73</v>
      </c>
    </row>
    <row r="117" spans="1:5" x14ac:dyDescent="0.2">
      <c r="A117" s="6">
        <v>111</v>
      </c>
      <c r="B117" s="137">
        <v>41182</v>
      </c>
      <c r="C117" s="569">
        <v>0.40366003975592701</v>
      </c>
      <c r="D117" s="569">
        <v>1.6705715198065001</v>
      </c>
      <c r="E117" s="569">
        <v>1.54</v>
      </c>
    </row>
    <row r="118" spans="1:5" x14ac:dyDescent="0.2">
      <c r="A118" s="6">
        <v>112</v>
      </c>
      <c r="B118" s="137">
        <v>41274</v>
      </c>
      <c r="C118" s="569">
        <v>0.31871286329545401</v>
      </c>
      <c r="D118" s="569">
        <v>1.6905333052296401</v>
      </c>
      <c r="E118" s="569">
        <v>1.38</v>
      </c>
    </row>
    <row r="119" spans="1:5" x14ac:dyDescent="0.2">
      <c r="A119" s="6">
        <v>113</v>
      </c>
      <c r="B119" s="137">
        <v>41364</v>
      </c>
      <c r="C119" s="569">
        <v>0.102944521687691</v>
      </c>
      <c r="D119" s="569">
        <v>1.6779357072346399</v>
      </c>
      <c r="E119" s="569">
        <v>1.32</v>
      </c>
    </row>
    <row r="120" spans="1:5" x14ac:dyDescent="0.2">
      <c r="A120" s="6">
        <v>114</v>
      </c>
      <c r="B120" s="137">
        <v>41455</v>
      </c>
      <c r="C120" s="569">
        <v>0.141366586694507</v>
      </c>
      <c r="D120" s="569">
        <v>1.6558812330255901</v>
      </c>
      <c r="E120" s="569">
        <v>1.76</v>
      </c>
    </row>
    <row r="121" spans="1:5" x14ac:dyDescent="0.2">
      <c r="A121" s="6">
        <v>115</v>
      </c>
      <c r="B121" s="137">
        <v>41547</v>
      </c>
      <c r="C121" s="569">
        <v>3.6869790909187503E-2</v>
      </c>
      <c r="D121" s="569">
        <v>1.6177873905832401</v>
      </c>
      <c r="E121" s="569">
        <v>1.82</v>
      </c>
    </row>
    <row r="122" spans="1:5" x14ac:dyDescent="0.2">
      <c r="A122" s="6">
        <v>116</v>
      </c>
      <c r="B122" s="137">
        <v>41639</v>
      </c>
      <c r="C122" s="569">
        <v>-0.13098083164261001</v>
      </c>
      <c r="D122" s="569">
        <v>1.55260109196822</v>
      </c>
      <c r="E122" s="569">
        <v>2.11</v>
      </c>
    </row>
    <row r="123" spans="1:5" x14ac:dyDescent="0.2">
      <c r="A123" s="6">
        <v>117</v>
      </c>
      <c r="B123" s="137">
        <v>41729</v>
      </c>
      <c r="C123" s="569">
        <v>-0.132653809599798</v>
      </c>
      <c r="D123" s="569">
        <v>1.49481791197942</v>
      </c>
      <c r="E123" s="569">
        <v>1.65</v>
      </c>
    </row>
    <row r="124" spans="1:5" x14ac:dyDescent="0.2">
      <c r="A124" s="6">
        <v>118</v>
      </c>
      <c r="B124" s="137">
        <v>41820</v>
      </c>
      <c r="C124" s="569">
        <v>-0.306131070246832</v>
      </c>
      <c r="D124" s="569">
        <v>1.4211750543745001</v>
      </c>
      <c r="E124" s="569">
        <v>1.31</v>
      </c>
    </row>
    <row r="125" spans="1:5" x14ac:dyDescent="0.2">
      <c r="A125" s="6">
        <v>119</v>
      </c>
      <c r="B125" s="137">
        <v>41912</v>
      </c>
      <c r="C125" s="569">
        <v>-0.277453566021022</v>
      </c>
      <c r="D125" s="569">
        <v>1.3558257046514</v>
      </c>
      <c r="E125" s="569">
        <v>0.99</v>
      </c>
    </row>
    <row r="126" spans="1:5" x14ac:dyDescent="0.2">
      <c r="A126" s="6">
        <v>120</v>
      </c>
      <c r="B126" s="137">
        <v>42004</v>
      </c>
      <c r="C126" s="569">
        <v>-0.20102655642742501</v>
      </c>
      <c r="D126" s="569">
        <v>1.3048975343045599</v>
      </c>
      <c r="E126" s="569">
        <v>0.6</v>
      </c>
    </row>
    <row r="127" spans="1:5" x14ac:dyDescent="0.2">
      <c r="A127" s="6">
        <v>121</v>
      </c>
      <c r="B127" s="137">
        <v>42094</v>
      </c>
      <c r="C127" s="569">
        <v>-6.2936313090145704E-2</v>
      </c>
      <c r="D127" s="569">
        <v>1.26657208106592</v>
      </c>
      <c r="E127" s="569">
        <v>0.22</v>
      </c>
    </row>
    <row r="128" spans="1:5" x14ac:dyDescent="0.2">
      <c r="A128" s="6">
        <v>122</v>
      </c>
      <c r="B128" s="137">
        <v>42185</v>
      </c>
      <c r="C128" s="569">
        <v>-1.7968473057555601E-2</v>
      </c>
      <c r="D128" s="569">
        <v>1.2361338523910601</v>
      </c>
      <c r="E128" s="569">
        <v>0.86</v>
      </c>
    </row>
    <row r="129" spans="1:5" x14ac:dyDescent="0.2">
      <c r="A129" s="6">
        <v>123</v>
      </c>
      <c r="B129" s="137">
        <v>42277</v>
      </c>
      <c r="C129" s="569">
        <v>-9.1096799522763002E-3</v>
      </c>
      <c r="D129" s="569">
        <v>1.2005872180825701</v>
      </c>
      <c r="E129" s="569">
        <v>0.61</v>
      </c>
    </row>
    <row r="130" spans="1:5" x14ac:dyDescent="0.2">
      <c r="A130" s="6">
        <v>124</v>
      </c>
      <c r="B130" s="137">
        <v>42369</v>
      </c>
      <c r="C130" s="569">
        <v>-1.5604179835060399E-4</v>
      </c>
      <c r="D130" s="569">
        <v>1.17480624213809</v>
      </c>
      <c r="E130" s="569">
        <v>0.7</v>
      </c>
    </row>
    <row r="131" spans="1:5" x14ac:dyDescent="0.2">
      <c r="A131" s="6">
        <v>125</v>
      </c>
      <c r="B131" s="137">
        <v>42460</v>
      </c>
      <c r="C131" s="569">
        <v>-0.137998606129698</v>
      </c>
      <c r="D131" s="569">
        <v>1.11501784028498</v>
      </c>
      <c r="E131" s="569">
        <v>0.13</v>
      </c>
    </row>
    <row r="132" spans="1:5" x14ac:dyDescent="0.2">
      <c r="A132" s="6">
        <v>126</v>
      </c>
      <c r="B132" s="137">
        <v>42551</v>
      </c>
      <c r="C132" s="569">
        <v>-9.9536553689564697E-2</v>
      </c>
      <c r="D132" s="569">
        <v>1.0920872988826</v>
      </c>
      <c r="E132" s="569">
        <v>-0.14000000000000001</v>
      </c>
    </row>
    <row r="133" spans="1:5" x14ac:dyDescent="0.2">
      <c r="A133" s="6">
        <v>127</v>
      </c>
      <c r="B133" s="137">
        <v>42643</v>
      </c>
      <c r="C133" s="569">
        <v>-2.92746518962348E-2</v>
      </c>
      <c r="D133" s="569">
        <v>1.09480504846288</v>
      </c>
      <c r="E133" s="569">
        <v>-0.21</v>
      </c>
    </row>
    <row r="134" spans="1:5" x14ac:dyDescent="0.2">
      <c r="A134" s="6">
        <v>128</v>
      </c>
      <c r="B134" s="137">
        <v>42735</v>
      </c>
      <c r="C134" s="569">
        <v>-1.81503438834314E-2</v>
      </c>
      <c r="D134" s="569">
        <v>1.0863198342128999</v>
      </c>
      <c r="E134" s="569">
        <v>0.22</v>
      </c>
    </row>
    <row r="135" spans="1:5" x14ac:dyDescent="0.2">
      <c r="A135" s="6">
        <v>129</v>
      </c>
      <c r="B135" s="137">
        <v>42825</v>
      </c>
      <c r="C135" s="569">
        <v>0.13329066311121701</v>
      </c>
      <c r="D135" s="569">
        <v>1.1067411182940601</v>
      </c>
      <c r="E135" s="569">
        <v>0.33</v>
      </c>
    </row>
    <row r="136" spans="1:5" x14ac:dyDescent="0.2">
      <c r="A136" s="6">
        <v>130</v>
      </c>
      <c r="B136" s="137">
        <v>42916</v>
      </c>
      <c r="C136" s="569">
        <v>0.181169398635535</v>
      </c>
      <c r="D136" s="569">
        <v>1.12040965520806</v>
      </c>
      <c r="E136" s="569">
        <v>0.48</v>
      </c>
    </row>
    <row r="137" spans="1:5" x14ac:dyDescent="0.2">
      <c r="A137" s="16">
        <v>131</v>
      </c>
      <c r="B137" s="570">
        <v>43008</v>
      </c>
      <c r="C137" s="18">
        <v>0.21019180189617201</v>
      </c>
      <c r="D137" s="18">
        <v>1.1341737843823401</v>
      </c>
      <c r="E137" s="18">
        <v>0.46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2:H48"/>
  <sheetViews>
    <sheetView showGridLines="0" workbookViewId="0"/>
  </sheetViews>
  <sheetFormatPr defaultColWidth="9.140625" defaultRowHeight="12.75" x14ac:dyDescent="0.2"/>
  <cols>
    <col min="1" max="1" width="9.140625" style="6"/>
    <col min="2" max="2" width="39.7109375" style="6" customWidth="1"/>
    <col min="3" max="3" width="10" style="6" bestFit="1" customWidth="1"/>
    <col min="4" max="4" width="9.140625" style="6"/>
    <col min="5" max="5" width="7.42578125" style="6" customWidth="1"/>
    <col min="6" max="16384" width="9.140625" style="6"/>
  </cols>
  <sheetData>
    <row r="2" spans="2:8" x14ac:dyDescent="0.2">
      <c r="B2" s="832" t="s">
        <v>643</v>
      </c>
      <c r="C2" s="832"/>
      <c r="D2" s="832"/>
      <c r="E2" s="832"/>
      <c r="F2" s="832"/>
      <c r="G2" s="832"/>
      <c r="H2" s="832"/>
    </row>
    <row r="3" spans="2:8" ht="26.25" thickBot="1" x14ac:dyDescent="0.25">
      <c r="B3" s="571"/>
      <c r="C3" s="572" t="s">
        <v>289</v>
      </c>
      <c r="D3" s="572" t="s">
        <v>599</v>
      </c>
      <c r="E3" s="572" t="s">
        <v>632</v>
      </c>
      <c r="F3" s="152" t="s">
        <v>633</v>
      </c>
      <c r="G3" s="573" t="s">
        <v>634</v>
      </c>
      <c r="H3" s="152" t="s">
        <v>635</v>
      </c>
    </row>
    <row r="4" spans="2:8" ht="13.5" thickBot="1" x14ac:dyDescent="0.25">
      <c r="B4" s="573" t="s">
        <v>16</v>
      </c>
      <c r="C4" s="574">
        <v>41294.980000000003</v>
      </c>
      <c r="D4" s="574">
        <f>C17</f>
        <v>42053</v>
      </c>
      <c r="E4" s="574">
        <f t="shared" ref="E4:H4" si="0">D17</f>
        <v>43229.537001689576</v>
      </c>
      <c r="F4" s="574">
        <f t="shared" si="0"/>
        <v>43967.757879122117</v>
      </c>
      <c r="G4" s="574">
        <f t="shared" si="0"/>
        <v>45719.27635581405</v>
      </c>
      <c r="H4" s="574">
        <f t="shared" si="0"/>
        <v>47381.118429421404</v>
      </c>
    </row>
    <row r="5" spans="2:8" x14ac:dyDescent="0.2">
      <c r="B5" s="575" t="s">
        <v>17</v>
      </c>
      <c r="C5" s="577">
        <f>C6+C7+C13+C14+C15+C16+C8</f>
        <v>758.26114997882667</v>
      </c>
      <c r="D5" s="577">
        <f t="shared" ref="D5:H5" si="1">D6+D7+D13+D14+D15+D16+D8</f>
        <v>1176.5370016895774</v>
      </c>
      <c r="E5" s="577">
        <f t="shared" si="1"/>
        <v>738.22087743254133</v>
      </c>
      <c r="F5" s="577">
        <f t="shared" si="1"/>
        <v>1751.5184766919351</v>
      </c>
      <c r="G5" s="577">
        <f t="shared" si="1"/>
        <v>1661.8420736073565</v>
      </c>
      <c r="H5" s="577">
        <f t="shared" si="1"/>
        <v>1512.2396274250932</v>
      </c>
    </row>
    <row r="6" spans="2:8" x14ac:dyDescent="0.2">
      <c r="B6" s="44" t="s">
        <v>644</v>
      </c>
      <c r="C6" s="579">
        <v>980.255</v>
      </c>
      <c r="D6" s="579">
        <v>1220.1320000000001</v>
      </c>
      <c r="E6" s="579">
        <v>1133.676974</v>
      </c>
      <c r="F6" s="579">
        <v>2138.1377750000001</v>
      </c>
      <c r="G6" s="580">
        <v>2210.6849900000002</v>
      </c>
      <c r="H6" s="579">
        <v>1898.776869</v>
      </c>
    </row>
    <row r="7" spans="2:8" ht="25.5" x14ac:dyDescent="0.2">
      <c r="B7" s="44" t="s">
        <v>645</v>
      </c>
      <c r="C7" s="579">
        <v>44.952678799999831</v>
      </c>
      <c r="D7" s="579">
        <v>1.2528639399993153</v>
      </c>
      <c r="E7" s="579">
        <v>-343.55744113774693</v>
      </c>
      <c r="F7" s="579">
        <v>-377.25805250984911</v>
      </c>
      <c r="G7" s="580">
        <v>-540.87384805590216</v>
      </c>
      <c r="H7" s="579">
        <v>-444.03563172062115</v>
      </c>
    </row>
    <row r="8" spans="2:8" x14ac:dyDescent="0.2">
      <c r="B8" s="44" t="s">
        <v>646</v>
      </c>
      <c r="C8" s="579">
        <v>-93.267500000000013</v>
      </c>
      <c r="D8" s="579">
        <v>3.4730000000000056</v>
      </c>
      <c r="E8" s="579">
        <v>-57.216000000000015</v>
      </c>
      <c r="F8" s="579">
        <v>-97.934999999999974</v>
      </c>
      <c r="G8" s="580">
        <v>-121.52199999999999</v>
      </c>
      <c r="H8" s="579">
        <v>-147.59899999999999</v>
      </c>
    </row>
    <row r="9" spans="2:8" x14ac:dyDescent="0.2">
      <c r="B9" s="581" t="s">
        <v>309</v>
      </c>
      <c r="C9" s="579">
        <v>31.728999999999999</v>
      </c>
      <c r="D9" s="579">
        <v>8.3650000000000002</v>
      </c>
      <c r="E9" s="579">
        <v>-7.8369999999999989</v>
      </c>
      <c r="F9" s="579">
        <v>-0.43400000000001171</v>
      </c>
      <c r="G9" s="580">
        <v>-1.7220000000000084</v>
      </c>
      <c r="H9" s="579">
        <v>-26.801000000000002</v>
      </c>
    </row>
    <row r="10" spans="2:8" x14ac:dyDescent="0.2">
      <c r="B10" s="581" t="s">
        <v>18</v>
      </c>
      <c r="C10" s="579">
        <v>-40.156999999999996</v>
      </c>
      <c r="D10" s="579">
        <v>-35.988</v>
      </c>
      <c r="E10" s="579">
        <v>2.2569999999999979</v>
      </c>
      <c r="F10" s="579">
        <v>-37.177</v>
      </c>
      <c r="G10" s="580">
        <v>-37.177</v>
      </c>
      <c r="H10" s="579">
        <v>-37.177</v>
      </c>
    </row>
    <row r="11" spans="2:8" x14ac:dyDescent="0.2">
      <c r="B11" s="581" t="s">
        <v>122</v>
      </c>
      <c r="C11" s="579">
        <v>-23.012</v>
      </c>
      <c r="D11" s="579">
        <v>-3.9089999999999998</v>
      </c>
      <c r="E11" s="579">
        <v>-2.3290000000000006</v>
      </c>
      <c r="F11" s="579">
        <v>-3.360000000000003</v>
      </c>
      <c r="G11" s="580">
        <v>-4.4089999999999989</v>
      </c>
      <c r="H11" s="579">
        <v>-4.1310000000000002</v>
      </c>
    </row>
    <row r="12" spans="2:8" x14ac:dyDescent="0.2">
      <c r="B12" s="581" t="s">
        <v>647</v>
      </c>
      <c r="C12" s="579">
        <v>-61.69</v>
      </c>
      <c r="D12" s="579">
        <v>50.133000000000003</v>
      </c>
      <c r="E12" s="579">
        <v>-88.177999999999997</v>
      </c>
      <c r="F12" s="579">
        <v>-93.620999999999981</v>
      </c>
      <c r="G12" s="580">
        <v>-92.913000000000011</v>
      </c>
      <c r="H12" s="579">
        <v>-92.187999999999988</v>
      </c>
    </row>
    <row r="13" spans="2:8" x14ac:dyDescent="0.2">
      <c r="B13" s="44" t="s">
        <v>648</v>
      </c>
      <c r="C13" s="579">
        <v>0</v>
      </c>
      <c r="D13" s="579">
        <v>0</v>
      </c>
      <c r="E13" s="579">
        <v>0</v>
      </c>
      <c r="F13" s="579">
        <v>0</v>
      </c>
      <c r="G13" s="580">
        <v>0</v>
      </c>
      <c r="H13" s="579">
        <v>0</v>
      </c>
    </row>
    <row r="14" spans="2:8" x14ac:dyDescent="0.2">
      <c r="B14" s="44" t="s">
        <v>649</v>
      </c>
      <c r="C14" s="579">
        <v>42.917776040000014</v>
      </c>
      <c r="D14" s="579">
        <v>68.307245850000058</v>
      </c>
      <c r="E14" s="579">
        <v>9.7300908460523488</v>
      </c>
      <c r="F14" s="579">
        <v>90.456930577102767</v>
      </c>
      <c r="G14" s="580">
        <v>174.78618994892375</v>
      </c>
      <c r="H14" s="579">
        <v>210.80090602898164</v>
      </c>
    </row>
    <row r="15" spans="2:8" x14ac:dyDescent="0.2">
      <c r="B15" s="44" t="s">
        <v>650</v>
      </c>
      <c r="C15" s="579">
        <v>-61.400103450209656</v>
      </c>
      <c r="D15" s="579">
        <v>-62.006163310000005</v>
      </c>
      <c r="E15" s="579">
        <v>-6.6828267000000032</v>
      </c>
      <c r="F15" s="579">
        <v>2.1752466099537311</v>
      </c>
      <c r="G15" s="580">
        <v>-59.433394000000007</v>
      </c>
      <c r="H15" s="579">
        <v>-4.3407054653386474</v>
      </c>
    </row>
    <row r="16" spans="2:8" ht="13.5" thickBot="1" x14ac:dyDescent="0.25">
      <c r="B16" s="571" t="s">
        <v>651</v>
      </c>
      <c r="C16" s="665">
        <v>-155.19670141096367</v>
      </c>
      <c r="D16" s="665">
        <v>-54.621944790421942</v>
      </c>
      <c r="E16" s="665">
        <v>2.2700804242360135</v>
      </c>
      <c r="F16" s="665">
        <v>-4.0584229852725215</v>
      </c>
      <c r="G16" s="666">
        <v>-1.7998642856652367</v>
      </c>
      <c r="H16" s="665">
        <v>-1.3628104179285288</v>
      </c>
    </row>
    <row r="17" spans="2:8" x14ac:dyDescent="0.2">
      <c r="B17" s="575" t="s">
        <v>19</v>
      </c>
      <c r="C17" s="577">
        <v>42053</v>
      </c>
      <c r="D17" s="577">
        <f>C17+D5</f>
        <v>43229.537001689576</v>
      </c>
      <c r="E17" s="577">
        <f>D17+E5</f>
        <v>43967.757879122117</v>
      </c>
      <c r="F17" s="577">
        <f>E17+F5</f>
        <v>45719.27635581405</v>
      </c>
      <c r="G17" s="577">
        <f>F17+G5</f>
        <v>47381.118429421404</v>
      </c>
      <c r="H17" s="577">
        <f>G17+H5</f>
        <v>48893.358056846497</v>
      </c>
    </row>
    <row r="18" spans="2:8" ht="13.5" thickBot="1" x14ac:dyDescent="0.25">
      <c r="B18" s="582" t="s">
        <v>4</v>
      </c>
      <c r="C18" s="667">
        <f>C17/IMF_TABULKA!N90*100</f>
        <v>51.772784829816899</v>
      </c>
      <c r="D18" s="667">
        <f>D17/IMF_TABULKA!O90*100</f>
        <v>50.947662603557362</v>
      </c>
      <c r="E18" s="667">
        <f>E17/IMF_TABULKA!Q90*100</f>
        <v>48.679657950939628</v>
      </c>
      <c r="F18" s="667">
        <f>F17/IMF_TABULKA!R90*100</f>
        <v>47.261309400574113</v>
      </c>
      <c r="G18" s="667">
        <f>G17/IMF_TABULKA!S90*100</f>
        <v>45.989684811323947</v>
      </c>
      <c r="H18" s="667">
        <f>H17/IMF_TABULKA!T90*100</f>
        <v>44.815110238301905</v>
      </c>
    </row>
    <row r="19" spans="2:8" ht="25.5" x14ac:dyDescent="0.2">
      <c r="B19" s="575" t="s">
        <v>652</v>
      </c>
      <c r="C19" s="576">
        <v>0</v>
      </c>
      <c r="D19" s="576">
        <v>0.1</v>
      </c>
      <c r="E19" s="576">
        <v>-0.6</v>
      </c>
      <c r="F19" s="576">
        <v>0.7</v>
      </c>
      <c r="G19" s="583">
        <v>1.1000000000000001</v>
      </c>
      <c r="H19" s="576">
        <v>1.5</v>
      </c>
    </row>
    <row r="20" spans="2:8" x14ac:dyDescent="0.2">
      <c r="B20" s="44" t="s">
        <v>653</v>
      </c>
      <c r="C20" s="578">
        <v>0</v>
      </c>
      <c r="D20" s="578">
        <v>0.1</v>
      </c>
      <c r="E20" s="578">
        <v>-0.1</v>
      </c>
      <c r="F20" s="578">
        <v>-0.3</v>
      </c>
      <c r="G20" s="44">
        <v>-0.5</v>
      </c>
      <c r="H20" s="578">
        <v>-0.5</v>
      </c>
    </row>
    <row r="21" spans="2:8" ht="13.5" thickBot="1" x14ac:dyDescent="0.25">
      <c r="B21" s="584" t="s">
        <v>654</v>
      </c>
      <c r="C21" s="585">
        <v>0</v>
      </c>
      <c r="D21" s="585">
        <v>0</v>
      </c>
      <c r="E21" s="585">
        <v>-0.5</v>
      </c>
      <c r="F21" s="585">
        <v>1</v>
      </c>
      <c r="G21" s="584">
        <v>1.6</v>
      </c>
      <c r="H21" s="585">
        <v>2</v>
      </c>
    </row>
    <row r="22" spans="2:8" x14ac:dyDescent="0.2">
      <c r="B22" s="830" t="s">
        <v>20</v>
      </c>
      <c r="C22" s="830"/>
      <c r="D22" s="830"/>
      <c r="E22" s="830"/>
      <c r="F22" s="830"/>
      <c r="G22" s="830"/>
      <c r="H22" s="586"/>
    </row>
    <row r="23" spans="2:8" x14ac:dyDescent="0.2">
      <c r="B23" s="831" t="s">
        <v>823</v>
      </c>
      <c r="C23" s="831"/>
      <c r="D23" s="831"/>
      <c r="E23" s="831"/>
      <c r="F23" s="831"/>
      <c r="G23" s="831"/>
      <c r="H23" s="587"/>
    </row>
    <row r="27" spans="2:8" x14ac:dyDescent="0.2">
      <c r="B27" s="761" t="s">
        <v>1269</v>
      </c>
    </row>
    <row r="28" spans="2:8" ht="13.5" thickBot="1" x14ac:dyDescent="0.25">
      <c r="B28" s="571"/>
      <c r="C28" s="572" t="s">
        <v>1180</v>
      </c>
      <c r="D28" s="572" t="s">
        <v>1170</v>
      </c>
      <c r="E28" s="572" t="s">
        <v>632</v>
      </c>
      <c r="F28" s="572" t="s">
        <v>1171</v>
      </c>
      <c r="G28" s="572" t="s">
        <v>1288</v>
      </c>
      <c r="H28" s="572" t="s">
        <v>1173</v>
      </c>
    </row>
    <row r="29" spans="2:8" ht="13.5" thickBot="1" x14ac:dyDescent="0.25">
      <c r="B29" s="573" t="s">
        <v>1270</v>
      </c>
      <c r="C29" s="574">
        <f t="shared" ref="C29:H29" si="2">C4</f>
        <v>41294.980000000003</v>
      </c>
      <c r="D29" s="574">
        <f t="shared" si="2"/>
        <v>42053</v>
      </c>
      <c r="E29" s="574">
        <f t="shared" si="2"/>
        <v>43229.537001689576</v>
      </c>
      <c r="F29" s="574">
        <f t="shared" si="2"/>
        <v>43967.757879122117</v>
      </c>
      <c r="G29" s="574">
        <f t="shared" si="2"/>
        <v>45719.27635581405</v>
      </c>
      <c r="H29" s="574">
        <f t="shared" si="2"/>
        <v>47381.118429421404</v>
      </c>
    </row>
    <row r="30" spans="2:8" ht="13.5" thickBot="1" x14ac:dyDescent="0.25">
      <c r="B30" s="757" t="s">
        <v>1271</v>
      </c>
      <c r="C30" s="762">
        <f t="shared" ref="C30:H30" si="3">C5</f>
        <v>758.26114997882667</v>
      </c>
      <c r="D30" s="762">
        <f t="shared" si="3"/>
        <v>1176.5370016895774</v>
      </c>
      <c r="E30" s="762">
        <f t="shared" si="3"/>
        <v>738.22087743254133</v>
      </c>
      <c r="F30" s="762">
        <f t="shared" si="3"/>
        <v>1751.5184766919351</v>
      </c>
      <c r="G30" s="762">
        <f t="shared" si="3"/>
        <v>1661.8420736073565</v>
      </c>
      <c r="H30" s="762">
        <f t="shared" si="3"/>
        <v>1512.2396274250932</v>
      </c>
    </row>
    <row r="31" spans="2:8" x14ac:dyDescent="0.2">
      <c r="B31" s="750" t="s">
        <v>1272</v>
      </c>
      <c r="C31" s="763">
        <f t="shared" ref="C31:H31" si="4">C6</f>
        <v>980.255</v>
      </c>
      <c r="D31" s="763">
        <f t="shared" si="4"/>
        <v>1220.1320000000001</v>
      </c>
      <c r="E31" s="763">
        <f t="shared" si="4"/>
        <v>1133.676974</v>
      </c>
      <c r="F31" s="763">
        <f t="shared" si="4"/>
        <v>2138.1377750000001</v>
      </c>
      <c r="G31" s="764">
        <f t="shared" si="4"/>
        <v>2210.6849900000002</v>
      </c>
      <c r="H31" s="763">
        <f t="shared" si="4"/>
        <v>1898.776869</v>
      </c>
    </row>
    <row r="32" spans="2:8" ht="25.5" x14ac:dyDescent="0.2">
      <c r="B32" s="750" t="s">
        <v>1273</v>
      </c>
      <c r="C32" s="763">
        <f t="shared" ref="C32:H32" si="5">C7</f>
        <v>44.952678799999831</v>
      </c>
      <c r="D32" s="763">
        <f t="shared" si="5"/>
        <v>1.2528639399993153</v>
      </c>
      <c r="E32" s="763">
        <f t="shared" si="5"/>
        <v>-343.55744113774693</v>
      </c>
      <c r="F32" s="763">
        <f t="shared" si="5"/>
        <v>-377.25805250984911</v>
      </c>
      <c r="G32" s="763">
        <f t="shared" si="5"/>
        <v>-540.87384805590216</v>
      </c>
      <c r="H32" s="763">
        <f t="shared" si="5"/>
        <v>-444.03563172062115</v>
      </c>
    </row>
    <row r="33" spans="2:8" x14ac:dyDescent="0.2">
      <c r="B33" s="750" t="s">
        <v>1274</v>
      </c>
      <c r="C33" s="763">
        <f>C13</f>
        <v>0</v>
      </c>
      <c r="D33" s="763">
        <f t="shared" ref="D33:H33" si="6">D13</f>
        <v>0</v>
      </c>
      <c r="E33" s="763">
        <f t="shared" si="6"/>
        <v>0</v>
      </c>
      <c r="F33" s="763">
        <f t="shared" si="6"/>
        <v>0</v>
      </c>
      <c r="G33" s="763">
        <f t="shared" si="6"/>
        <v>0</v>
      </c>
      <c r="H33" s="763">
        <f t="shared" si="6"/>
        <v>0</v>
      </c>
    </row>
    <row r="34" spans="2:8" x14ac:dyDescent="0.2">
      <c r="B34" s="750" t="s">
        <v>1275</v>
      </c>
      <c r="C34" s="763">
        <f>C14</f>
        <v>42.917776040000014</v>
      </c>
      <c r="D34" s="763">
        <f t="shared" ref="D34:H34" si="7">D14</f>
        <v>68.307245850000058</v>
      </c>
      <c r="E34" s="763">
        <f t="shared" si="7"/>
        <v>9.7300908460523488</v>
      </c>
      <c r="F34" s="763">
        <f t="shared" si="7"/>
        <v>90.456930577102767</v>
      </c>
      <c r="G34" s="763">
        <f t="shared" si="7"/>
        <v>174.78618994892375</v>
      </c>
      <c r="H34" s="763">
        <f t="shared" si="7"/>
        <v>210.80090602898164</v>
      </c>
    </row>
    <row r="35" spans="2:8" x14ac:dyDescent="0.2">
      <c r="B35" s="750" t="s">
        <v>1276</v>
      </c>
      <c r="C35" s="763">
        <f>C15</f>
        <v>-61.400103450209656</v>
      </c>
      <c r="D35" s="763">
        <f t="shared" ref="D35:H35" si="8">D15</f>
        <v>-62.006163310000005</v>
      </c>
      <c r="E35" s="763">
        <f t="shared" si="8"/>
        <v>-6.6828267000000032</v>
      </c>
      <c r="F35" s="763">
        <f t="shared" si="8"/>
        <v>2.1752466099537311</v>
      </c>
      <c r="G35" s="763">
        <f t="shared" si="8"/>
        <v>-59.433394000000007</v>
      </c>
      <c r="H35" s="763">
        <f t="shared" si="8"/>
        <v>-4.3407054653386474</v>
      </c>
    </row>
    <row r="36" spans="2:8" x14ac:dyDescent="0.2">
      <c r="B36" s="750" t="s">
        <v>1277</v>
      </c>
      <c r="C36" s="763">
        <f>C8</f>
        <v>-93.267500000000013</v>
      </c>
      <c r="D36" s="763">
        <f t="shared" ref="D36:H36" si="9">D8</f>
        <v>3.4730000000000056</v>
      </c>
      <c r="E36" s="763">
        <f t="shared" si="9"/>
        <v>-57.216000000000015</v>
      </c>
      <c r="F36" s="763">
        <f t="shared" si="9"/>
        <v>-97.934999999999974</v>
      </c>
      <c r="G36" s="763">
        <f t="shared" si="9"/>
        <v>-121.52199999999999</v>
      </c>
      <c r="H36" s="763">
        <f t="shared" si="9"/>
        <v>-147.59899999999999</v>
      </c>
    </row>
    <row r="37" spans="2:8" x14ac:dyDescent="0.2">
      <c r="B37" s="758" t="s">
        <v>1278</v>
      </c>
      <c r="C37" s="763">
        <f>C9</f>
        <v>31.728999999999999</v>
      </c>
      <c r="D37" s="763">
        <f t="shared" ref="D37:H37" si="10">D9</f>
        <v>8.3650000000000002</v>
      </c>
      <c r="E37" s="763">
        <f t="shared" si="10"/>
        <v>-7.8369999999999989</v>
      </c>
      <c r="F37" s="763">
        <f t="shared" si="10"/>
        <v>-0.43400000000001171</v>
      </c>
      <c r="G37" s="763">
        <f t="shared" si="10"/>
        <v>-1.7220000000000084</v>
      </c>
      <c r="H37" s="763">
        <f t="shared" si="10"/>
        <v>-26.801000000000002</v>
      </c>
    </row>
    <row r="38" spans="2:8" x14ac:dyDescent="0.2">
      <c r="B38" s="758" t="s">
        <v>1279</v>
      </c>
      <c r="C38" s="763">
        <f t="shared" ref="C38:H38" si="11">C10</f>
        <v>-40.156999999999996</v>
      </c>
      <c r="D38" s="763">
        <f t="shared" si="11"/>
        <v>-35.988</v>
      </c>
      <c r="E38" s="763">
        <f t="shared" si="11"/>
        <v>2.2569999999999979</v>
      </c>
      <c r="F38" s="763">
        <f t="shared" si="11"/>
        <v>-37.177</v>
      </c>
      <c r="G38" s="763">
        <f t="shared" si="11"/>
        <v>-37.177</v>
      </c>
      <c r="H38" s="763">
        <f t="shared" si="11"/>
        <v>-37.177</v>
      </c>
    </row>
    <row r="39" spans="2:8" x14ac:dyDescent="0.2">
      <c r="B39" s="758" t="s">
        <v>1280</v>
      </c>
      <c r="C39" s="763">
        <f t="shared" ref="C39:H39" si="12">C11</f>
        <v>-23.012</v>
      </c>
      <c r="D39" s="763">
        <f t="shared" si="12"/>
        <v>-3.9089999999999998</v>
      </c>
      <c r="E39" s="763">
        <f t="shared" si="12"/>
        <v>-2.3290000000000006</v>
      </c>
      <c r="F39" s="763">
        <f t="shared" si="12"/>
        <v>-3.360000000000003</v>
      </c>
      <c r="G39" s="763">
        <f t="shared" si="12"/>
        <v>-4.4089999999999989</v>
      </c>
      <c r="H39" s="763">
        <f t="shared" si="12"/>
        <v>-4.1310000000000002</v>
      </c>
    </row>
    <row r="40" spans="2:8" x14ac:dyDescent="0.2">
      <c r="B40" s="758" t="s">
        <v>1281</v>
      </c>
      <c r="C40" s="763">
        <f t="shared" ref="C40:H40" si="13">C12</f>
        <v>-61.69</v>
      </c>
      <c r="D40" s="763">
        <f t="shared" si="13"/>
        <v>50.133000000000003</v>
      </c>
      <c r="E40" s="763">
        <f t="shared" si="13"/>
        <v>-88.177999999999997</v>
      </c>
      <c r="F40" s="763">
        <f t="shared" si="13"/>
        <v>-93.620999999999981</v>
      </c>
      <c r="G40" s="763">
        <f t="shared" si="13"/>
        <v>-92.913000000000011</v>
      </c>
      <c r="H40" s="763">
        <f t="shared" si="13"/>
        <v>-92.187999999999988</v>
      </c>
    </row>
    <row r="41" spans="2:8" ht="13.5" thickBot="1" x14ac:dyDescent="0.25">
      <c r="B41" s="750" t="s">
        <v>1282</v>
      </c>
      <c r="C41" s="763">
        <f>C16</f>
        <v>-155.19670141096367</v>
      </c>
      <c r="D41" s="763">
        <f t="shared" ref="D41:H41" si="14">D16</f>
        <v>-54.621944790421942</v>
      </c>
      <c r="E41" s="763">
        <f t="shared" si="14"/>
        <v>2.2700804242360135</v>
      </c>
      <c r="F41" s="763">
        <f t="shared" si="14"/>
        <v>-4.0584229852725215</v>
      </c>
      <c r="G41" s="763">
        <f t="shared" si="14"/>
        <v>-1.7998642856652367</v>
      </c>
      <c r="H41" s="763">
        <f t="shared" si="14"/>
        <v>-1.3628104179285288</v>
      </c>
    </row>
    <row r="42" spans="2:8" x14ac:dyDescent="0.2">
      <c r="B42" s="759" t="s">
        <v>1283</v>
      </c>
      <c r="C42" s="765">
        <f t="shared" ref="C42:H42" si="15">C29+C30</f>
        <v>42053.241149978829</v>
      </c>
      <c r="D42" s="765">
        <f t="shared" si="15"/>
        <v>43229.537001689576</v>
      </c>
      <c r="E42" s="765">
        <f t="shared" si="15"/>
        <v>43967.757879122117</v>
      </c>
      <c r="F42" s="765">
        <f t="shared" si="15"/>
        <v>45719.27635581405</v>
      </c>
      <c r="G42" s="765">
        <f t="shared" si="15"/>
        <v>47381.118429421404</v>
      </c>
      <c r="H42" s="765">
        <f t="shared" si="15"/>
        <v>48893.358056846497</v>
      </c>
    </row>
    <row r="43" spans="2:8" ht="13.5" thickBot="1" x14ac:dyDescent="0.25">
      <c r="B43" s="757" t="s">
        <v>1284</v>
      </c>
      <c r="C43" s="766">
        <f>C18</f>
        <v>51.772784829816899</v>
      </c>
      <c r="D43" s="766">
        <f t="shared" ref="D43:H43" si="16">D18</f>
        <v>50.947662603557362</v>
      </c>
      <c r="E43" s="766">
        <f t="shared" si="16"/>
        <v>48.679657950939628</v>
      </c>
      <c r="F43" s="766">
        <f t="shared" si="16"/>
        <v>47.261309400574113</v>
      </c>
      <c r="G43" s="766">
        <f t="shared" si="16"/>
        <v>45.989684811323947</v>
      </c>
      <c r="H43" s="766">
        <f t="shared" si="16"/>
        <v>44.815110238301905</v>
      </c>
    </row>
    <row r="44" spans="2:8" ht="26.25" thickBot="1" x14ac:dyDescent="0.25">
      <c r="B44" s="768" t="s">
        <v>1291</v>
      </c>
      <c r="C44" s="769">
        <f>C19</f>
        <v>0</v>
      </c>
      <c r="D44" s="769">
        <f t="shared" ref="D44:H44" si="17">D19</f>
        <v>0.1</v>
      </c>
      <c r="E44" s="769">
        <f t="shared" si="17"/>
        <v>-0.6</v>
      </c>
      <c r="F44" s="769">
        <f t="shared" si="17"/>
        <v>0.7</v>
      </c>
      <c r="G44" s="769">
        <f t="shared" si="17"/>
        <v>1.1000000000000001</v>
      </c>
      <c r="H44" s="769">
        <f t="shared" si="17"/>
        <v>1.5</v>
      </c>
    </row>
    <row r="45" spans="2:8" x14ac:dyDescent="0.2">
      <c r="B45" s="758" t="s">
        <v>1289</v>
      </c>
      <c r="C45" s="767">
        <f>C20</f>
        <v>0</v>
      </c>
      <c r="D45" s="767">
        <f t="shared" ref="D45:H46" si="18">D20</f>
        <v>0.1</v>
      </c>
      <c r="E45" s="767">
        <f t="shared" si="18"/>
        <v>-0.1</v>
      </c>
      <c r="F45" s="767">
        <f t="shared" si="18"/>
        <v>-0.3</v>
      </c>
      <c r="G45" s="767">
        <f t="shared" si="18"/>
        <v>-0.5</v>
      </c>
      <c r="H45" s="767">
        <f t="shared" si="18"/>
        <v>-0.5</v>
      </c>
    </row>
    <row r="46" spans="2:8" ht="13.5" thickBot="1" x14ac:dyDescent="0.25">
      <c r="B46" s="758" t="s">
        <v>1290</v>
      </c>
      <c r="C46" s="767">
        <f>C21</f>
        <v>0</v>
      </c>
      <c r="D46" s="767">
        <f t="shared" si="18"/>
        <v>0</v>
      </c>
      <c r="E46" s="767">
        <f t="shared" si="18"/>
        <v>-0.5</v>
      </c>
      <c r="F46" s="767">
        <f t="shared" si="18"/>
        <v>1</v>
      </c>
      <c r="G46" s="767">
        <f t="shared" si="18"/>
        <v>1.6</v>
      </c>
      <c r="H46" s="767">
        <f t="shared" si="18"/>
        <v>2</v>
      </c>
    </row>
    <row r="47" spans="2:8" ht="24" customHeight="1" x14ac:dyDescent="0.2">
      <c r="B47" s="833" t="s">
        <v>1285</v>
      </c>
      <c r="C47" s="833"/>
      <c r="D47" s="833"/>
      <c r="E47" s="833"/>
      <c r="F47" s="833"/>
      <c r="G47" s="834" t="s">
        <v>1286</v>
      </c>
      <c r="H47" s="834"/>
    </row>
    <row r="48" spans="2:8" x14ac:dyDescent="0.2">
      <c r="B48" s="693" t="s">
        <v>1287</v>
      </c>
    </row>
  </sheetData>
  <mergeCells count="5">
    <mergeCell ref="B22:G22"/>
    <mergeCell ref="B23:G23"/>
    <mergeCell ref="B2:H2"/>
    <mergeCell ref="B47:F47"/>
    <mergeCell ref="G47:H4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B4:H35"/>
  <sheetViews>
    <sheetView showGridLines="0" zoomScaleNormal="100" workbookViewId="0">
      <selection activeCell="B14" sqref="B14:H14"/>
    </sheetView>
  </sheetViews>
  <sheetFormatPr defaultColWidth="9.140625" defaultRowHeight="12.75" x14ac:dyDescent="0.2"/>
  <cols>
    <col min="1" max="1" width="9.140625" style="6"/>
    <col min="2" max="2" width="33.85546875" style="6" customWidth="1"/>
    <col min="3" max="7" width="10" style="6" customWidth="1"/>
    <col min="8" max="16384" width="9.140625" style="6"/>
  </cols>
  <sheetData>
    <row r="4" spans="2:8" ht="15" customHeight="1" thickBot="1" x14ac:dyDescent="0.25">
      <c r="B4" s="832" t="s">
        <v>655</v>
      </c>
      <c r="C4" s="832"/>
      <c r="D4" s="832"/>
      <c r="E4" s="832"/>
      <c r="F4" s="832"/>
      <c r="G4" s="832"/>
      <c r="H4" s="832"/>
    </row>
    <row r="5" spans="2:8" ht="26.25" thickBot="1" x14ac:dyDescent="0.25">
      <c r="B5" s="588"/>
      <c r="C5" s="589" t="s">
        <v>289</v>
      </c>
      <c r="D5" s="589" t="s">
        <v>599</v>
      </c>
      <c r="E5" s="589" t="s">
        <v>632</v>
      </c>
      <c r="F5" s="589" t="s">
        <v>633</v>
      </c>
      <c r="G5" s="589" t="s">
        <v>634</v>
      </c>
      <c r="H5" s="589" t="s">
        <v>635</v>
      </c>
    </row>
    <row r="6" spans="2:8" x14ac:dyDescent="0.2">
      <c r="B6" s="575" t="s">
        <v>12</v>
      </c>
      <c r="C6" s="157">
        <f>'Tabuľka 7'!C18</f>
        <v>51.772784829816899</v>
      </c>
      <c r="D6" s="157">
        <f>'Tabuľka 7'!D18</f>
        <v>50.947662603557362</v>
      </c>
      <c r="E6" s="157">
        <f>'Tabuľka 7'!E18</f>
        <v>48.679657950939628</v>
      </c>
      <c r="F6" s="157">
        <f>'Tabuľka 7'!F18</f>
        <v>47.261309400574113</v>
      </c>
      <c r="G6" s="157">
        <f>'Tabuľka 7'!G18</f>
        <v>45.989684811323947</v>
      </c>
      <c r="H6" s="157">
        <f>'Tabuľka 7'!H18</f>
        <v>44.815110238301905</v>
      </c>
    </row>
    <row r="7" spans="2:8" x14ac:dyDescent="0.2">
      <c r="B7" s="44" t="s">
        <v>13</v>
      </c>
      <c r="C7" s="154">
        <v>46.980791014558875</v>
      </c>
      <c r="D7" s="154">
        <v>46.356258634958827</v>
      </c>
      <c r="E7" s="154">
        <v>44.429652408193505</v>
      </c>
      <c r="F7" s="154">
        <v>43.39444674250224</v>
      </c>
      <c r="G7" s="154">
        <v>42.476795093072113</v>
      </c>
      <c r="H7" s="154">
        <v>41.633103613056967</v>
      </c>
    </row>
    <row r="8" spans="2:8" x14ac:dyDescent="0.2">
      <c r="B8" s="44" t="s">
        <v>14</v>
      </c>
      <c r="C8" s="154">
        <v>2.3153155447229063</v>
      </c>
      <c r="D8" s="154">
        <v>2.2164060378882788</v>
      </c>
      <c r="E8" s="154">
        <v>2.0821827450615289</v>
      </c>
      <c r="F8" s="154">
        <v>1.9440706636528415</v>
      </c>
      <c r="G8" s="154">
        <v>1.8254114478574839</v>
      </c>
      <c r="H8" s="154">
        <v>1.7237736891426552</v>
      </c>
    </row>
    <row r="9" spans="2:8" x14ac:dyDescent="0.2">
      <c r="B9" s="44" t="s">
        <v>15</v>
      </c>
      <c r="C9" s="154">
        <v>0.81156207071588948</v>
      </c>
      <c r="D9" s="154">
        <v>0.77689241008878718</v>
      </c>
      <c r="E9" s="154">
        <v>0.72984459679480296</v>
      </c>
      <c r="F9" s="154">
        <v>0.68143368924728331</v>
      </c>
      <c r="G9" s="154">
        <v>0.63984138054452755</v>
      </c>
      <c r="H9" s="154">
        <v>0.60421541581866978</v>
      </c>
    </row>
    <row r="10" spans="2:8" ht="13.5" thickBot="1" x14ac:dyDescent="0.25">
      <c r="B10" s="584" t="s">
        <v>656</v>
      </c>
      <c r="C10" s="590">
        <v>1.6654153648422716</v>
      </c>
      <c r="D10" s="590">
        <v>1.5983624399673244</v>
      </c>
      <c r="E10" s="590">
        <v>1.4382195614616531</v>
      </c>
      <c r="F10" s="590">
        <v>1.241583656192577</v>
      </c>
      <c r="G10" s="590">
        <v>1.047848486239253</v>
      </c>
      <c r="H10" s="590">
        <v>0.8542173351194613</v>
      </c>
    </row>
    <row r="11" spans="2:8" x14ac:dyDescent="0.2">
      <c r="B11" s="835" t="s">
        <v>826</v>
      </c>
      <c r="C11" s="835"/>
      <c r="D11" s="591"/>
      <c r="E11" s="591"/>
      <c r="F11" s="591"/>
      <c r="G11" s="834" t="s">
        <v>3</v>
      </c>
      <c r="H11" s="834"/>
    </row>
    <row r="14" spans="2:8" ht="13.5" thickBot="1" x14ac:dyDescent="0.25">
      <c r="B14" s="832" t="s">
        <v>1292</v>
      </c>
      <c r="C14" s="832"/>
      <c r="D14" s="832"/>
      <c r="E14" s="832"/>
      <c r="F14" s="832"/>
      <c r="G14" s="832"/>
      <c r="H14" s="832"/>
    </row>
    <row r="15" spans="2:8" ht="13.5" thickBot="1" x14ac:dyDescent="0.25">
      <c r="B15" s="588"/>
      <c r="C15" s="589" t="s">
        <v>1180</v>
      </c>
      <c r="D15" s="589" t="s">
        <v>1170</v>
      </c>
      <c r="E15" s="589" t="s">
        <v>632</v>
      </c>
      <c r="F15" s="589" t="s">
        <v>1171</v>
      </c>
      <c r="G15" s="589" t="s">
        <v>1288</v>
      </c>
      <c r="H15" s="589" t="s">
        <v>1173</v>
      </c>
    </row>
    <row r="16" spans="2:8" ht="16.5" customHeight="1" x14ac:dyDescent="0.2">
      <c r="B16" s="575" t="s">
        <v>1293</v>
      </c>
      <c r="C16" s="157">
        <f>C6</f>
        <v>51.772784829816899</v>
      </c>
      <c r="D16" s="157">
        <f t="shared" ref="D16:H16" si="0">D6</f>
        <v>50.947662603557362</v>
      </c>
      <c r="E16" s="157">
        <f t="shared" si="0"/>
        <v>48.679657950939628</v>
      </c>
      <c r="F16" s="157">
        <f t="shared" si="0"/>
        <v>47.261309400574113</v>
      </c>
      <c r="G16" s="157">
        <f t="shared" si="0"/>
        <v>45.989684811323947</v>
      </c>
      <c r="H16" s="157">
        <f t="shared" si="0"/>
        <v>44.815110238301905</v>
      </c>
    </row>
    <row r="17" spans="2:8" ht="16.5" customHeight="1" x14ac:dyDescent="0.2">
      <c r="B17" s="750" t="s">
        <v>1294</v>
      </c>
      <c r="C17" s="154">
        <v>46.980791014558875</v>
      </c>
      <c r="D17" s="154">
        <v>46.356258634958827</v>
      </c>
      <c r="E17" s="154">
        <v>44.429652408193505</v>
      </c>
      <c r="F17" s="154">
        <v>43.39444674250224</v>
      </c>
      <c r="G17" s="154">
        <v>42.476795093072113</v>
      </c>
      <c r="H17" s="154">
        <v>41.633103613056967</v>
      </c>
    </row>
    <row r="18" spans="2:8" ht="16.5" customHeight="1" x14ac:dyDescent="0.2">
      <c r="B18" s="750" t="s">
        <v>1295</v>
      </c>
      <c r="C18" s="154">
        <v>2.3153155447229063</v>
      </c>
      <c r="D18" s="154">
        <v>2.2164060378882788</v>
      </c>
      <c r="E18" s="154">
        <v>2.0821827450615289</v>
      </c>
      <c r="F18" s="154">
        <v>1.9440706636528415</v>
      </c>
      <c r="G18" s="154">
        <v>1.8254114478574839</v>
      </c>
      <c r="H18" s="154">
        <v>1.7237736891426552</v>
      </c>
    </row>
    <row r="19" spans="2:8" ht="16.5" customHeight="1" x14ac:dyDescent="0.2">
      <c r="B19" s="750" t="s">
        <v>1296</v>
      </c>
      <c r="C19" s="154">
        <v>0.81156207071588948</v>
      </c>
      <c r="D19" s="154">
        <v>0.77689241008878718</v>
      </c>
      <c r="E19" s="154">
        <v>0.72984459679480296</v>
      </c>
      <c r="F19" s="154">
        <v>0.68143368924728331</v>
      </c>
      <c r="G19" s="154">
        <v>0.63984138054452755</v>
      </c>
      <c r="H19" s="154">
        <v>0.60421541581866978</v>
      </c>
    </row>
    <row r="20" spans="2:8" ht="16.5" customHeight="1" thickBot="1" x14ac:dyDescent="0.25">
      <c r="B20" s="760" t="s">
        <v>1297</v>
      </c>
      <c r="C20" s="590">
        <v>1.6654153648422716</v>
      </c>
      <c r="D20" s="590">
        <v>1.5983624399673244</v>
      </c>
      <c r="E20" s="590">
        <v>1.4382195614616531</v>
      </c>
      <c r="F20" s="590">
        <v>1.241583656192577</v>
      </c>
      <c r="G20" s="590">
        <v>1.047848486239253</v>
      </c>
      <c r="H20" s="590">
        <v>0.8542173351194613</v>
      </c>
    </row>
    <row r="21" spans="2:8" ht="16.5" customHeight="1" x14ac:dyDescent="0.2">
      <c r="B21" s="835" t="s">
        <v>1298</v>
      </c>
      <c r="C21" s="835"/>
      <c r="D21" s="591"/>
      <c r="E21" s="591"/>
      <c r="F21" s="591"/>
      <c r="G21" s="834" t="s">
        <v>1194</v>
      </c>
      <c r="H21" s="834"/>
    </row>
    <row r="22" spans="2:8" ht="16.5" customHeight="1" x14ac:dyDescent="0.2"/>
    <row r="23" spans="2:8" s="55" customFormat="1" ht="16.5" customHeight="1" x14ac:dyDescent="0.2">
      <c r="C23" s="169"/>
      <c r="D23" s="169"/>
      <c r="E23" s="169"/>
      <c r="F23" s="169"/>
      <c r="G23" s="169"/>
    </row>
    <row r="24" spans="2:8" s="55" customFormat="1" ht="16.5" customHeight="1" x14ac:dyDescent="0.2">
      <c r="C24" s="213"/>
      <c r="D24" s="213"/>
      <c r="E24" s="213"/>
      <c r="F24" s="213"/>
      <c r="G24" s="213"/>
    </row>
    <row r="25" spans="2:8" s="55" customFormat="1" x14ac:dyDescent="0.2"/>
    <row r="26" spans="2:8" s="55" customFormat="1" ht="15" customHeight="1" x14ac:dyDescent="0.2">
      <c r="B26" s="214"/>
      <c r="C26" s="215"/>
    </row>
    <row r="27" spans="2:8" s="55" customFormat="1" ht="15" customHeight="1" x14ac:dyDescent="0.2">
      <c r="B27" s="214"/>
      <c r="C27" s="214"/>
      <c r="D27" s="215"/>
      <c r="E27" s="216"/>
    </row>
    <row r="28" spans="2:8" ht="15" customHeight="1" x14ac:dyDescent="0.2"/>
    <row r="29" spans="2:8" ht="15" customHeight="1" x14ac:dyDescent="0.2"/>
    <row r="30" spans="2:8" ht="20.2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20.25" customHeight="1" x14ac:dyDescent="0.2"/>
    <row r="35" ht="20.25" customHeight="1" x14ac:dyDescent="0.2"/>
  </sheetData>
  <mergeCells count="6">
    <mergeCell ref="B11:C11"/>
    <mergeCell ref="G11:H11"/>
    <mergeCell ref="B4:H4"/>
    <mergeCell ref="B14:H14"/>
    <mergeCell ref="B21:C21"/>
    <mergeCell ref="G21:H2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N84"/>
  <sheetViews>
    <sheetView showGridLines="0" zoomScaleNormal="100" workbookViewId="0"/>
  </sheetViews>
  <sheetFormatPr defaultColWidth="9.140625" defaultRowHeight="12.75" x14ac:dyDescent="0.2"/>
  <cols>
    <col min="1" max="1" width="14.42578125" style="592" bestFit="1" customWidth="1"/>
    <col min="2" max="3" width="19.5703125" style="593" customWidth="1"/>
    <col min="4" max="4" width="10.28515625" style="593" customWidth="1"/>
    <col min="5" max="5" width="19.5703125" style="593" customWidth="1"/>
    <col min="6" max="6" width="32.140625" style="593" customWidth="1"/>
    <col min="7" max="7" width="13.140625" style="593" customWidth="1"/>
    <col min="8" max="8" width="19.5703125" style="593" customWidth="1"/>
    <col min="9" max="9" width="22.85546875" style="593" customWidth="1"/>
    <col min="10" max="10" width="13.7109375" style="593" customWidth="1"/>
    <col min="11" max="13" width="19.5703125" style="593" customWidth="1"/>
    <col min="14" max="14" width="11.28515625" style="592" customWidth="1"/>
    <col min="15" max="16384" width="9.140625" style="592"/>
  </cols>
  <sheetData>
    <row r="1" spans="1:13" ht="22.5" customHeight="1" x14ac:dyDescent="0.2"/>
    <row r="2" spans="1:13" ht="20.25" customHeight="1" x14ac:dyDescent="0.2">
      <c r="A2" s="594" t="s">
        <v>724</v>
      </c>
      <c r="D2" s="592"/>
      <c r="E2" s="594" t="s">
        <v>726</v>
      </c>
      <c r="F2" s="594"/>
      <c r="G2" s="594"/>
      <c r="H2" s="594" t="s">
        <v>727</v>
      </c>
      <c r="I2" s="594"/>
      <c r="J2" s="594"/>
      <c r="K2" s="594" t="s">
        <v>728</v>
      </c>
      <c r="L2" s="594"/>
      <c r="M2" s="594"/>
    </row>
    <row r="18" spans="1:13" x14ac:dyDescent="0.2">
      <c r="A18" s="594" t="s">
        <v>1308</v>
      </c>
      <c r="D18" s="592"/>
      <c r="E18" s="594" t="s">
        <v>1309</v>
      </c>
      <c r="F18" s="594"/>
      <c r="G18" s="594"/>
      <c r="H18" s="594" t="s">
        <v>1310</v>
      </c>
      <c r="I18" s="594"/>
      <c r="J18" s="594"/>
      <c r="K18" s="594" t="s">
        <v>1311</v>
      </c>
      <c r="L18" s="594"/>
      <c r="M18" s="594"/>
    </row>
    <row r="32" spans="1:13" s="601" customFormat="1" x14ac:dyDescent="0.2">
      <c r="A32" s="595"/>
      <c r="B32" s="836" t="s">
        <v>712</v>
      </c>
      <c r="C32" s="837"/>
      <c r="D32" s="838"/>
      <c r="E32" s="596"/>
      <c r="F32" s="597" t="s">
        <v>713</v>
      </c>
      <c r="G32" s="598"/>
      <c r="H32" s="836" t="s">
        <v>714</v>
      </c>
      <c r="I32" s="837"/>
      <c r="J32" s="838"/>
      <c r="K32" s="599"/>
      <c r="L32" s="599" t="s">
        <v>715</v>
      </c>
      <c r="M32" s="600"/>
    </row>
    <row r="33" spans="1:14" s="601" customFormat="1" ht="13.5" customHeight="1" x14ac:dyDescent="0.2">
      <c r="A33" s="602"/>
      <c r="B33" s="603" t="s">
        <v>716</v>
      </c>
      <c r="C33" s="604" t="s">
        <v>717</v>
      </c>
      <c r="D33" s="605" t="s">
        <v>321</v>
      </c>
      <c r="E33" s="605"/>
      <c r="F33" s="606" t="s">
        <v>321</v>
      </c>
      <c r="G33" s="603"/>
      <c r="H33" s="603" t="s">
        <v>718</v>
      </c>
      <c r="I33" s="604" t="s">
        <v>719</v>
      </c>
      <c r="J33" s="605" t="s">
        <v>321</v>
      </c>
      <c r="K33" s="604"/>
      <c r="L33" s="604" t="s">
        <v>321</v>
      </c>
      <c r="M33" s="607"/>
      <c r="N33" s="602" t="s">
        <v>720</v>
      </c>
    </row>
    <row r="34" spans="1:14" s="601" customFormat="1" ht="26.25" customHeight="1" x14ac:dyDescent="0.2">
      <c r="A34" s="595"/>
      <c r="B34" s="836" t="s">
        <v>1300</v>
      </c>
      <c r="C34" s="837"/>
      <c r="D34" s="838"/>
      <c r="E34" s="735"/>
      <c r="F34" s="597" t="s">
        <v>1302</v>
      </c>
      <c r="G34" s="735"/>
      <c r="H34" s="839" t="s">
        <v>1303</v>
      </c>
      <c r="I34" s="840"/>
      <c r="J34" s="841"/>
      <c r="K34" s="735"/>
      <c r="L34" s="771" t="s">
        <v>1304</v>
      </c>
      <c r="M34" s="600"/>
      <c r="N34" s="595"/>
    </row>
    <row r="35" spans="1:14" s="601" customFormat="1" ht="13.5" customHeight="1" x14ac:dyDescent="0.2">
      <c r="A35" s="595"/>
      <c r="B35" s="770" t="s">
        <v>1299</v>
      </c>
      <c r="C35" s="771" t="s">
        <v>1301</v>
      </c>
      <c r="D35" s="772" t="s">
        <v>940</v>
      </c>
      <c r="E35" s="735"/>
      <c r="F35" s="773" t="s">
        <v>940</v>
      </c>
      <c r="G35" s="735"/>
      <c r="H35" s="770" t="s">
        <v>1305</v>
      </c>
      <c r="I35" s="771" t="s">
        <v>1306</v>
      </c>
      <c r="J35" s="772" t="s">
        <v>940</v>
      </c>
      <c r="K35" s="735"/>
      <c r="L35" s="771" t="s">
        <v>940</v>
      </c>
      <c r="M35" s="600"/>
      <c r="N35" s="774" t="s">
        <v>940</v>
      </c>
    </row>
    <row r="36" spans="1:14" s="601" customFormat="1" ht="13.5" customHeight="1" x14ac:dyDescent="0.2">
      <c r="A36" s="601" t="s">
        <v>736</v>
      </c>
      <c r="B36" s="608">
        <v>27</v>
      </c>
      <c r="C36" s="609">
        <v>1.1000000000000001</v>
      </c>
      <c r="D36" s="610">
        <v>28</v>
      </c>
      <c r="E36" s="601" t="s">
        <v>769</v>
      </c>
      <c r="F36" s="611">
        <v>3.2</v>
      </c>
      <c r="G36" s="601" t="s">
        <v>746</v>
      </c>
      <c r="H36" s="608">
        <v>136.1</v>
      </c>
      <c r="I36" s="609">
        <v>8.1</v>
      </c>
      <c r="J36" s="612">
        <v>144.19999999999999</v>
      </c>
      <c r="K36" s="601" t="s">
        <v>748</v>
      </c>
      <c r="L36" s="613">
        <v>5.9</v>
      </c>
      <c r="M36" s="614" t="s">
        <v>746</v>
      </c>
      <c r="N36" s="615">
        <v>150.66499999999999</v>
      </c>
    </row>
    <row r="37" spans="1:14" s="601" customFormat="1" x14ac:dyDescent="0.2">
      <c r="A37" s="601" t="s">
        <v>752</v>
      </c>
      <c r="B37" s="608">
        <v>20.5</v>
      </c>
      <c r="C37" s="609">
        <v>0</v>
      </c>
      <c r="D37" s="612">
        <v>20.5</v>
      </c>
      <c r="E37" s="601" t="s">
        <v>187</v>
      </c>
      <c r="F37" s="611">
        <v>3.1</v>
      </c>
      <c r="G37" s="601" t="s">
        <v>774</v>
      </c>
      <c r="H37" s="608">
        <v>88.3</v>
      </c>
      <c r="I37" s="609">
        <v>15.6</v>
      </c>
      <c r="J37" s="612">
        <v>103.89999999999999</v>
      </c>
      <c r="K37" s="601" t="s">
        <v>769</v>
      </c>
      <c r="L37" s="613">
        <v>1.5</v>
      </c>
      <c r="M37" s="614" t="s">
        <v>1307</v>
      </c>
      <c r="N37" s="615">
        <v>115.13</v>
      </c>
    </row>
    <row r="38" spans="1:14" s="601" customFormat="1" x14ac:dyDescent="0.2">
      <c r="A38" s="601" t="s">
        <v>1307</v>
      </c>
      <c r="B38" s="608">
        <v>14.3</v>
      </c>
      <c r="C38" s="609">
        <v>0</v>
      </c>
      <c r="D38" s="612">
        <v>14.3</v>
      </c>
      <c r="E38" s="601" t="s">
        <v>186</v>
      </c>
      <c r="F38" s="611">
        <v>1.7</v>
      </c>
      <c r="G38" s="601" t="s">
        <v>1307</v>
      </c>
      <c r="H38" s="608">
        <v>96.4</v>
      </c>
      <c r="I38" s="609">
        <v>4.3</v>
      </c>
      <c r="J38" s="612">
        <v>100.7</v>
      </c>
      <c r="K38" s="601" t="s">
        <v>154</v>
      </c>
      <c r="L38" s="613">
        <v>1.4</v>
      </c>
      <c r="M38" s="614" t="s">
        <v>774</v>
      </c>
      <c r="N38" s="615">
        <v>108.04</v>
      </c>
    </row>
    <row r="39" spans="1:14" s="601" customFormat="1" x14ac:dyDescent="0.2">
      <c r="A39" s="601" t="s">
        <v>753</v>
      </c>
      <c r="B39" s="608">
        <v>14.1</v>
      </c>
      <c r="C39" s="609">
        <v>0</v>
      </c>
      <c r="D39" s="612">
        <v>14.1</v>
      </c>
      <c r="E39" s="601" t="s">
        <v>738</v>
      </c>
      <c r="F39" s="611">
        <v>1.5</v>
      </c>
      <c r="G39" s="601" t="s">
        <v>775</v>
      </c>
      <c r="H39" s="608">
        <v>76.2</v>
      </c>
      <c r="I39" s="609">
        <v>13.6</v>
      </c>
      <c r="J39" s="612">
        <v>89.8</v>
      </c>
      <c r="K39" s="601" t="s">
        <v>752</v>
      </c>
      <c r="L39" s="613">
        <v>1.1000000000000001</v>
      </c>
      <c r="M39" s="614" t="s">
        <v>775</v>
      </c>
      <c r="N39" s="615">
        <v>100</v>
      </c>
    </row>
    <row r="40" spans="1:14" s="601" customFormat="1" x14ac:dyDescent="0.2">
      <c r="A40" s="601" t="s">
        <v>763</v>
      </c>
      <c r="B40" s="608">
        <v>12</v>
      </c>
      <c r="C40" s="609">
        <v>0.9</v>
      </c>
      <c r="D40" s="612">
        <v>12.9</v>
      </c>
      <c r="E40" s="601" t="s">
        <v>775</v>
      </c>
      <c r="F40" s="611">
        <v>0.8</v>
      </c>
      <c r="G40" s="601" t="s">
        <v>763</v>
      </c>
      <c r="H40" s="608">
        <v>74.400000000000006</v>
      </c>
      <c r="I40" s="609">
        <v>7.1</v>
      </c>
      <c r="J40" s="612">
        <v>81.5</v>
      </c>
      <c r="K40" s="601" t="s">
        <v>740</v>
      </c>
      <c r="L40" s="613">
        <v>0.8</v>
      </c>
      <c r="M40" s="614" t="s">
        <v>763</v>
      </c>
      <c r="N40" s="615">
        <v>94.414000000000001</v>
      </c>
    </row>
    <row r="41" spans="1:14" s="601" customFormat="1" x14ac:dyDescent="0.2">
      <c r="A41" s="601" t="s">
        <v>759</v>
      </c>
      <c r="B41" s="608">
        <v>10.3</v>
      </c>
      <c r="C41" s="609">
        <v>0.6</v>
      </c>
      <c r="D41" s="612">
        <v>10.9</v>
      </c>
      <c r="E41" s="601" t="s">
        <v>740</v>
      </c>
      <c r="F41" s="611">
        <v>0.7</v>
      </c>
      <c r="G41" s="601" t="s">
        <v>769</v>
      </c>
      <c r="H41" s="608">
        <v>62.4</v>
      </c>
      <c r="I41" s="609">
        <v>3.9</v>
      </c>
      <c r="J41" s="612">
        <v>66.2</v>
      </c>
      <c r="K41" s="601" t="s">
        <v>767</v>
      </c>
      <c r="L41" s="613">
        <v>0.7</v>
      </c>
      <c r="M41" s="614" t="s">
        <v>769</v>
      </c>
      <c r="N41" s="615">
        <v>76.5</v>
      </c>
    </row>
    <row r="42" spans="1:14" s="601" customFormat="1" x14ac:dyDescent="0.2">
      <c r="A42" s="601" t="s">
        <v>767</v>
      </c>
      <c r="B42" s="608">
        <v>10.5</v>
      </c>
      <c r="C42" s="609">
        <v>0</v>
      </c>
      <c r="D42" s="612">
        <v>10.5</v>
      </c>
      <c r="E42" s="601" t="s">
        <v>774</v>
      </c>
      <c r="F42" s="611">
        <v>0.4</v>
      </c>
      <c r="G42" s="601" t="s">
        <v>744</v>
      </c>
      <c r="H42" s="608">
        <v>42.8</v>
      </c>
      <c r="I42" s="609">
        <v>19.2</v>
      </c>
      <c r="J42" s="612">
        <v>62</v>
      </c>
      <c r="K42" s="601" t="s">
        <v>738</v>
      </c>
      <c r="L42" s="613">
        <v>0.4</v>
      </c>
      <c r="M42" s="614" t="s">
        <v>748</v>
      </c>
      <c r="N42" s="615">
        <v>73.704999999999998</v>
      </c>
    </row>
    <row r="43" spans="1:14" s="601" customFormat="1" x14ac:dyDescent="0.2">
      <c r="A43" s="601" t="s">
        <v>765</v>
      </c>
      <c r="B43" s="608">
        <v>9.9</v>
      </c>
      <c r="C43" s="609">
        <v>0</v>
      </c>
      <c r="D43" s="612">
        <v>9.9</v>
      </c>
      <c r="E43" s="601" t="s">
        <v>761</v>
      </c>
      <c r="F43" s="611">
        <v>0.3</v>
      </c>
      <c r="G43" s="601" t="s">
        <v>748</v>
      </c>
      <c r="H43" s="608">
        <v>40.1</v>
      </c>
      <c r="I43" s="609">
        <v>18.2</v>
      </c>
      <c r="J43" s="612">
        <v>58.2</v>
      </c>
      <c r="K43" s="601" t="s">
        <v>185</v>
      </c>
      <c r="L43" s="613">
        <v>0.31</v>
      </c>
      <c r="M43" s="614" t="s">
        <v>736</v>
      </c>
      <c r="N43" s="615">
        <v>70.873000000000005</v>
      </c>
    </row>
    <row r="44" spans="1:14" s="601" customFormat="1" x14ac:dyDescent="0.2">
      <c r="A44" s="601" t="s">
        <v>748</v>
      </c>
      <c r="B44" s="608">
        <v>9.6</v>
      </c>
      <c r="C44" s="609">
        <v>0</v>
      </c>
      <c r="D44" s="612">
        <v>9.6</v>
      </c>
      <c r="E44" s="601" t="s">
        <v>765</v>
      </c>
      <c r="F44" s="611">
        <v>0.2</v>
      </c>
      <c r="G44" s="601" t="s">
        <v>750</v>
      </c>
      <c r="H44" s="608">
        <v>29.3</v>
      </c>
      <c r="I44" s="609">
        <v>22.6</v>
      </c>
      <c r="J44" s="612">
        <v>51.900000000000006</v>
      </c>
      <c r="K44" s="601" t="s">
        <v>765</v>
      </c>
      <c r="L44" s="613">
        <v>0.3</v>
      </c>
      <c r="M44" s="614" t="s">
        <v>744</v>
      </c>
      <c r="N44" s="615">
        <v>67.215000000000003</v>
      </c>
    </row>
    <row r="45" spans="1:14" s="601" customFormat="1" x14ac:dyDescent="0.2">
      <c r="A45" s="601" t="s">
        <v>775</v>
      </c>
      <c r="B45" s="608">
        <v>9.1</v>
      </c>
      <c r="C45" s="609">
        <v>0.3</v>
      </c>
      <c r="D45" s="612">
        <v>9.4</v>
      </c>
      <c r="E45" s="601" t="s">
        <v>759</v>
      </c>
      <c r="F45" s="611">
        <v>0.14599999999999999</v>
      </c>
      <c r="G45" s="601" t="s">
        <v>759</v>
      </c>
      <c r="H45" s="608">
        <v>38</v>
      </c>
      <c r="I45" s="609">
        <v>13.7</v>
      </c>
      <c r="J45" s="612">
        <v>51.7</v>
      </c>
      <c r="K45" s="601" t="s">
        <v>746</v>
      </c>
      <c r="L45" s="613">
        <v>0.22</v>
      </c>
      <c r="M45" s="614" t="s">
        <v>759</v>
      </c>
      <c r="N45" s="615">
        <v>62.746000000000002</v>
      </c>
    </row>
    <row r="46" spans="1:14" s="601" customFormat="1" x14ac:dyDescent="0.2">
      <c r="A46" s="601" t="s">
        <v>738</v>
      </c>
      <c r="B46" s="608">
        <v>8.3000000000000007</v>
      </c>
      <c r="C46" s="609">
        <v>0.1</v>
      </c>
      <c r="D46" s="612">
        <v>8.3000000000000007</v>
      </c>
      <c r="E46" s="601" t="s">
        <v>746</v>
      </c>
      <c r="F46" s="611">
        <v>0.14499999999999999</v>
      </c>
      <c r="G46" s="601" t="s">
        <v>767</v>
      </c>
      <c r="H46" s="608">
        <v>19.399999999999999</v>
      </c>
      <c r="I46" s="609">
        <v>24.4</v>
      </c>
      <c r="J46" s="612">
        <v>43.8</v>
      </c>
      <c r="K46" s="775" t="s">
        <v>777</v>
      </c>
      <c r="L46" s="613">
        <v>0.21</v>
      </c>
      <c r="M46" s="614" t="s">
        <v>767</v>
      </c>
      <c r="N46" s="615">
        <v>55.003999999999998</v>
      </c>
    </row>
    <row r="47" spans="1:14" s="601" customFormat="1" x14ac:dyDescent="0.2">
      <c r="A47" s="601" t="s">
        <v>186</v>
      </c>
      <c r="B47" s="608">
        <v>7.9</v>
      </c>
      <c r="C47" s="609">
        <v>0.2</v>
      </c>
      <c r="D47" s="612">
        <v>8.1</v>
      </c>
      <c r="E47" s="601" t="s">
        <v>742</v>
      </c>
      <c r="F47" s="611">
        <v>0.14000000000000001</v>
      </c>
      <c r="G47" s="601" t="s">
        <v>738</v>
      </c>
      <c r="H47" s="608">
        <v>37.6</v>
      </c>
      <c r="I47" s="609">
        <v>5.4</v>
      </c>
      <c r="J47" s="612">
        <v>42.9</v>
      </c>
      <c r="K47" s="601" t="s">
        <v>761</v>
      </c>
      <c r="L47" s="613">
        <v>0.2</v>
      </c>
      <c r="M47" s="614" t="s">
        <v>750</v>
      </c>
      <c r="N47" s="615">
        <v>54.359000000000002</v>
      </c>
    </row>
    <row r="48" spans="1:14" s="601" customFormat="1" x14ac:dyDescent="0.2">
      <c r="A48" s="601" t="s">
        <v>761</v>
      </c>
      <c r="B48" s="608">
        <v>7.7</v>
      </c>
      <c r="C48" s="609">
        <v>0</v>
      </c>
      <c r="D48" s="612">
        <v>7.7</v>
      </c>
      <c r="E48" s="601" t="s">
        <v>771</v>
      </c>
      <c r="F48" s="611">
        <v>0.14000000000000001</v>
      </c>
      <c r="G48" s="601" t="s">
        <v>740</v>
      </c>
      <c r="H48" s="608">
        <v>36.4</v>
      </c>
      <c r="I48" s="609">
        <v>6.4</v>
      </c>
      <c r="J48" s="612">
        <v>42.8</v>
      </c>
      <c r="K48" s="601" t="s">
        <v>755</v>
      </c>
      <c r="L48" s="613">
        <v>0.14000000000000001</v>
      </c>
      <c r="M48" s="614" t="s">
        <v>738</v>
      </c>
      <c r="N48" s="615">
        <v>53.1</v>
      </c>
    </row>
    <row r="49" spans="1:14" s="601" customFormat="1" x14ac:dyDescent="0.2">
      <c r="A49" s="601" t="s">
        <v>185</v>
      </c>
      <c r="B49" s="608">
        <v>6.5</v>
      </c>
      <c r="C49" s="609">
        <v>0.7</v>
      </c>
      <c r="D49" s="612">
        <v>7.1</v>
      </c>
      <c r="E49" s="601" t="s">
        <v>752</v>
      </c>
      <c r="F49" s="611">
        <v>0.12</v>
      </c>
      <c r="G49" s="601" t="s">
        <v>736</v>
      </c>
      <c r="H49" s="608">
        <v>20.5</v>
      </c>
      <c r="I49" s="609">
        <v>22.2</v>
      </c>
      <c r="J49" s="610">
        <v>42.7</v>
      </c>
      <c r="K49" s="601" t="s">
        <v>736</v>
      </c>
      <c r="L49" s="616">
        <v>0.13</v>
      </c>
      <c r="M49" s="614" t="s">
        <v>752</v>
      </c>
      <c r="N49" s="615">
        <v>49.72</v>
      </c>
    </row>
    <row r="50" spans="1:14" s="601" customFormat="1" x14ac:dyDescent="0.2">
      <c r="A50" s="601" t="s">
        <v>746</v>
      </c>
      <c r="B50" s="608">
        <v>6.1</v>
      </c>
      <c r="C50" s="609">
        <v>0</v>
      </c>
      <c r="D50" s="612">
        <v>6.1</v>
      </c>
      <c r="E50" s="601" t="s">
        <v>753</v>
      </c>
      <c r="F50" s="611">
        <v>0.11</v>
      </c>
      <c r="G50" s="601" t="s">
        <v>185</v>
      </c>
      <c r="H50" s="608">
        <v>21.9</v>
      </c>
      <c r="I50" s="609">
        <v>12.8</v>
      </c>
      <c r="J50" s="612">
        <v>34.700000000000003</v>
      </c>
      <c r="K50" s="601" t="s">
        <v>187</v>
      </c>
      <c r="L50" s="613">
        <v>0.12</v>
      </c>
      <c r="M50" s="614" t="s">
        <v>740</v>
      </c>
      <c r="N50" s="615">
        <v>46.199999999999996</v>
      </c>
    </row>
    <row r="51" spans="1:14" s="601" customFormat="1" x14ac:dyDescent="0.2">
      <c r="A51" s="601" t="s">
        <v>769</v>
      </c>
      <c r="B51" s="608">
        <v>5.6</v>
      </c>
      <c r="C51" s="609">
        <v>0</v>
      </c>
      <c r="D51" s="612">
        <v>5.6</v>
      </c>
      <c r="E51" s="601" t="s">
        <v>750</v>
      </c>
      <c r="F51" s="611">
        <v>4.3999999999999997E-2</v>
      </c>
      <c r="G51" s="601" t="s">
        <v>765</v>
      </c>
      <c r="H51" s="608">
        <v>10.9</v>
      </c>
      <c r="I51" s="609">
        <v>18.2</v>
      </c>
      <c r="J51" s="612">
        <v>29.1</v>
      </c>
      <c r="K51" s="601" t="s">
        <v>1307</v>
      </c>
      <c r="L51" s="613">
        <v>0.11</v>
      </c>
      <c r="M51" s="614" t="s">
        <v>185</v>
      </c>
      <c r="N51" s="615">
        <v>42.120000000000005</v>
      </c>
    </row>
    <row r="52" spans="1:14" s="601" customFormat="1" x14ac:dyDescent="0.2">
      <c r="A52" s="601" t="s">
        <v>744</v>
      </c>
      <c r="B52" s="608">
        <v>3</v>
      </c>
      <c r="C52" s="609">
        <v>2.2000000000000002</v>
      </c>
      <c r="D52" s="612">
        <v>5.2</v>
      </c>
      <c r="E52" s="601" t="s">
        <v>736</v>
      </c>
      <c r="F52" s="617">
        <v>4.2999999999999997E-2</v>
      </c>
      <c r="G52" s="601" t="s">
        <v>752</v>
      </c>
      <c r="H52" s="608">
        <v>14.6</v>
      </c>
      <c r="I52" s="609">
        <v>13.4</v>
      </c>
      <c r="J52" s="612">
        <v>28</v>
      </c>
      <c r="K52" s="601" t="s">
        <v>779</v>
      </c>
      <c r="L52" s="613">
        <v>0.1</v>
      </c>
      <c r="M52" s="614" t="s">
        <v>765</v>
      </c>
      <c r="N52" s="615">
        <v>39.5</v>
      </c>
    </row>
    <row r="53" spans="1:14" s="601" customFormat="1" x14ac:dyDescent="0.2">
      <c r="A53" s="601" t="s">
        <v>774</v>
      </c>
      <c r="B53" s="608">
        <v>3.3</v>
      </c>
      <c r="C53" s="609">
        <v>0.4</v>
      </c>
      <c r="D53" s="612">
        <v>3.6999999999999997</v>
      </c>
      <c r="E53" s="775" t="s">
        <v>777</v>
      </c>
      <c r="F53" s="611">
        <v>0.04</v>
      </c>
      <c r="G53" s="601" t="s">
        <v>761</v>
      </c>
      <c r="H53" s="608">
        <v>22.7</v>
      </c>
      <c r="I53" s="609">
        <v>3</v>
      </c>
      <c r="J53" s="612">
        <v>25.7</v>
      </c>
      <c r="K53" s="601" t="s">
        <v>774</v>
      </c>
      <c r="L53" s="613">
        <v>0.04</v>
      </c>
      <c r="M53" s="614" t="s">
        <v>761</v>
      </c>
      <c r="N53" s="615">
        <v>33.9</v>
      </c>
    </row>
    <row r="54" spans="1:14" s="601" customFormat="1" x14ac:dyDescent="0.2">
      <c r="A54" s="601" t="s">
        <v>771</v>
      </c>
      <c r="B54" s="608">
        <v>2.6</v>
      </c>
      <c r="C54" s="609">
        <v>0</v>
      </c>
      <c r="D54" s="612">
        <v>2.6</v>
      </c>
      <c r="E54" s="601" t="s">
        <v>755</v>
      </c>
      <c r="F54" s="611">
        <v>3.5000000000000003E-2</v>
      </c>
      <c r="G54" s="775" t="s">
        <v>777</v>
      </c>
      <c r="H54" s="608"/>
      <c r="I54" s="609">
        <v>20.7</v>
      </c>
      <c r="J54" s="612">
        <v>20.7</v>
      </c>
      <c r="K54" s="601" t="s">
        <v>742</v>
      </c>
      <c r="L54" s="613">
        <v>0.03</v>
      </c>
      <c r="M54" s="614" t="s">
        <v>753</v>
      </c>
      <c r="N54" s="615">
        <v>33.619999999999997</v>
      </c>
    </row>
    <row r="55" spans="1:14" s="601" customFormat="1" x14ac:dyDescent="0.2">
      <c r="A55" s="601" t="s">
        <v>750</v>
      </c>
      <c r="B55" s="608">
        <v>1.2</v>
      </c>
      <c r="C55" s="609">
        <v>1.2</v>
      </c>
      <c r="D55" s="612">
        <v>2.4</v>
      </c>
      <c r="E55" s="601" t="s">
        <v>779</v>
      </c>
      <c r="F55" s="611">
        <v>0.03</v>
      </c>
      <c r="G55" s="601" t="s">
        <v>753</v>
      </c>
      <c r="H55" s="608">
        <v>3.2</v>
      </c>
      <c r="I55" s="609">
        <v>16.2</v>
      </c>
      <c r="J55" s="612">
        <v>19.399999999999999</v>
      </c>
      <c r="K55" s="601" t="s">
        <v>186</v>
      </c>
      <c r="L55" s="613">
        <v>0.03</v>
      </c>
      <c r="M55" s="614" t="s">
        <v>186</v>
      </c>
      <c r="N55" s="615">
        <v>24.13</v>
      </c>
    </row>
    <row r="56" spans="1:14" s="601" customFormat="1" x14ac:dyDescent="0.2">
      <c r="A56" s="601" t="s">
        <v>734</v>
      </c>
      <c r="B56" s="608">
        <v>0.4</v>
      </c>
      <c r="C56" s="609">
        <v>1.9</v>
      </c>
      <c r="D56" s="612">
        <v>2.2000000000000002</v>
      </c>
      <c r="E56" s="601" t="s">
        <v>154</v>
      </c>
      <c r="F56" s="611">
        <v>2.5000000000000001E-2</v>
      </c>
      <c r="G56" s="601" t="s">
        <v>186</v>
      </c>
      <c r="H56" s="608">
        <v>9.3000000000000007</v>
      </c>
      <c r="I56" s="609">
        <v>5</v>
      </c>
      <c r="J56" s="612">
        <v>14.3</v>
      </c>
      <c r="K56" s="601" t="s">
        <v>734</v>
      </c>
      <c r="L56" s="613">
        <v>2.5000000000000001E-2</v>
      </c>
      <c r="M56" s="775" t="s">
        <v>777</v>
      </c>
      <c r="N56" s="615">
        <v>22.349999999999998</v>
      </c>
    </row>
    <row r="57" spans="1:14" s="601" customFormat="1" x14ac:dyDescent="0.2">
      <c r="A57" s="601" t="s">
        <v>740</v>
      </c>
      <c r="B57" s="608">
        <v>1.9</v>
      </c>
      <c r="C57" s="609">
        <v>0</v>
      </c>
      <c r="D57" s="612">
        <v>1.9</v>
      </c>
      <c r="E57" s="601" t="s">
        <v>1307</v>
      </c>
      <c r="F57" s="611">
        <v>0.02</v>
      </c>
      <c r="G57" s="601" t="s">
        <v>742</v>
      </c>
      <c r="H57" s="608">
        <v>0.1</v>
      </c>
      <c r="I57" s="609">
        <v>13.3</v>
      </c>
      <c r="J57" s="612">
        <v>13.5</v>
      </c>
      <c r="K57" s="601" t="s">
        <v>750</v>
      </c>
      <c r="L57" s="613">
        <v>1.4999999999999999E-2</v>
      </c>
      <c r="M57" s="614" t="s">
        <v>742</v>
      </c>
      <c r="N57" s="615">
        <v>15.17</v>
      </c>
    </row>
    <row r="58" spans="1:14" s="601" customFormat="1" x14ac:dyDescent="0.2">
      <c r="A58" s="601" t="s">
        <v>742</v>
      </c>
      <c r="B58" s="608">
        <v>0</v>
      </c>
      <c r="C58" s="609">
        <v>1.5</v>
      </c>
      <c r="D58" s="612">
        <v>1.5</v>
      </c>
      <c r="E58" s="601" t="s">
        <v>744</v>
      </c>
      <c r="F58" s="611">
        <v>1.4999999999999999E-2</v>
      </c>
      <c r="G58" s="601" t="s">
        <v>779</v>
      </c>
      <c r="H58" s="608">
        <v>5</v>
      </c>
      <c r="I58" s="609">
        <v>8.1</v>
      </c>
      <c r="J58" s="612">
        <v>13.1</v>
      </c>
      <c r="K58" s="601" t="s">
        <v>753</v>
      </c>
      <c r="L58" s="613">
        <v>0.01</v>
      </c>
      <c r="M58" s="614" t="s">
        <v>779</v>
      </c>
      <c r="N58" s="615">
        <v>13.729999999999999</v>
      </c>
    </row>
    <row r="59" spans="1:14" s="601" customFormat="1" x14ac:dyDescent="0.2">
      <c r="A59" s="775" t="s">
        <v>777</v>
      </c>
      <c r="B59" s="608">
        <v>0.9</v>
      </c>
      <c r="C59" s="609">
        <v>0.5</v>
      </c>
      <c r="D59" s="612">
        <v>1.4</v>
      </c>
      <c r="E59" s="601" t="s">
        <v>763</v>
      </c>
      <c r="F59" s="611">
        <v>1.4E-2</v>
      </c>
      <c r="G59" s="601" t="s">
        <v>154</v>
      </c>
      <c r="H59" s="608">
        <v>0</v>
      </c>
      <c r="I59" s="609">
        <v>10.7</v>
      </c>
      <c r="J59" s="612">
        <v>10.8</v>
      </c>
      <c r="K59" s="601" t="s">
        <v>763</v>
      </c>
      <c r="L59" s="613">
        <v>0</v>
      </c>
      <c r="M59" s="614" t="s">
        <v>771</v>
      </c>
      <c r="N59" s="615">
        <v>13.14</v>
      </c>
    </row>
    <row r="60" spans="1:14" s="601" customFormat="1" x14ac:dyDescent="0.2">
      <c r="A60" s="601" t="s">
        <v>755</v>
      </c>
      <c r="B60" s="608">
        <v>0.2</v>
      </c>
      <c r="C60" s="609">
        <v>0.7</v>
      </c>
      <c r="D60" s="612">
        <v>0.89999999999999991</v>
      </c>
      <c r="E60" s="601" t="s">
        <v>185</v>
      </c>
      <c r="F60" s="611">
        <v>0.01</v>
      </c>
      <c r="G60" s="601" t="s">
        <v>771</v>
      </c>
      <c r="H60" s="608">
        <v>5.2</v>
      </c>
      <c r="I60" s="609">
        <v>5.2</v>
      </c>
      <c r="J60" s="612">
        <v>10.4</v>
      </c>
      <c r="K60" s="601" t="s">
        <v>759</v>
      </c>
      <c r="L60" s="613" t="s">
        <v>725</v>
      </c>
      <c r="M60" s="614" t="s">
        <v>154</v>
      </c>
      <c r="N60" s="615">
        <v>12.525000000000002</v>
      </c>
    </row>
    <row r="61" spans="1:14" s="601" customFormat="1" x14ac:dyDescent="0.2">
      <c r="A61" s="601" t="s">
        <v>779</v>
      </c>
      <c r="B61" s="608">
        <v>0.4</v>
      </c>
      <c r="C61" s="609">
        <v>0.1</v>
      </c>
      <c r="D61" s="612">
        <v>0.5</v>
      </c>
      <c r="E61" s="601" t="s">
        <v>734</v>
      </c>
      <c r="F61" s="611">
        <v>8.9999999999999993E-3</v>
      </c>
      <c r="G61" s="601" t="s">
        <v>734</v>
      </c>
      <c r="H61" s="608">
        <v>3.9</v>
      </c>
      <c r="I61" s="609">
        <v>3.5</v>
      </c>
      <c r="J61" s="612">
        <v>7.4</v>
      </c>
      <c r="K61" s="601" t="s">
        <v>775</v>
      </c>
      <c r="L61" s="613" t="s">
        <v>725</v>
      </c>
      <c r="M61" s="614" t="s">
        <v>734</v>
      </c>
      <c r="N61" s="615">
        <v>9.6340000000000021</v>
      </c>
    </row>
    <row r="62" spans="1:14" s="601" customFormat="1" x14ac:dyDescent="0.2">
      <c r="A62" s="601" t="s">
        <v>154</v>
      </c>
      <c r="B62" s="608">
        <v>0.3</v>
      </c>
      <c r="C62" s="609">
        <v>0</v>
      </c>
      <c r="D62" s="612">
        <v>0.3</v>
      </c>
      <c r="E62" s="601" t="s">
        <v>748</v>
      </c>
      <c r="F62" s="611">
        <v>5.0000000000000001E-3</v>
      </c>
      <c r="G62" s="601" t="s">
        <v>755</v>
      </c>
      <c r="H62" s="608">
        <v>0.1</v>
      </c>
      <c r="I62" s="609">
        <v>5.8</v>
      </c>
      <c r="J62" s="612">
        <v>5.8999999999999995</v>
      </c>
      <c r="K62" s="601" t="s">
        <v>744</v>
      </c>
      <c r="L62" s="613" t="s">
        <v>725</v>
      </c>
      <c r="M62" s="614" t="s">
        <v>755</v>
      </c>
      <c r="N62" s="615">
        <v>6.9749999999999988</v>
      </c>
    </row>
    <row r="63" spans="1:14" s="601" customFormat="1" x14ac:dyDescent="0.2">
      <c r="A63" s="601" t="s">
        <v>187</v>
      </c>
      <c r="B63" s="608">
        <v>0</v>
      </c>
      <c r="C63" s="609">
        <v>0</v>
      </c>
      <c r="D63" s="612">
        <v>0.03</v>
      </c>
      <c r="E63" s="601" t="s">
        <v>767</v>
      </c>
      <c r="F63" s="611">
        <v>4.0000000000000001E-3</v>
      </c>
      <c r="G63" s="601" t="s">
        <v>187</v>
      </c>
      <c r="H63" s="608">
        <v>0.3</v>
      </c>
      <c r="I63" s="609">
        <v>1</v>
      </c>
      <c r="J63" s="612">
        <v>1.3</v>
      </c>
      <c r="K63" s="601" t="s">
        <v>771</v>
      </c>
      <c r="L63" s="613" t="s">
        <v>725</v>
      </c>
      <c r="M63" s="614" t="s">
        <v>187</v>
      </c>
      <c r="N63" s="615">
        <v>4.5500000000000007</v>
      </c>
    </row>
    <row r="64" spans="1:14" x14ac:dyDescent="0.2">
      <c r="M64" s="618"/>
    </row>
    <row r="68" spans="9:12" x14ac:dyDescent="0.2">
      <c r="I68" s="619"/>
      <c r="J68" s="619"/>
      <c r="K68" s="619"/>
      <c r="L68" s="619"/>
    </row>
    <row r="69" spans="9:12" x14ac:dyDescent="0.2">
      <c r="I69" s="619"/>
    </row>
    <row r="84" spans="10:12" x14ac:dyDescent="0.2">
      <c r="J84" s="620"/>
      <c r="K84" s="620"/>
      <c r="L84" s="620"/>
    </row>
  </sheetData>
  <mergeCells count="4">
    <mergeCell ref="B32:D32"/>
    <mergeCell ref="H32:J32"/>
    <mergeCell ref="B34:D34"/>
    <mergeCell ref="H34:J3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B4:M54"/>
  <sheetViews>
    <sheetView showGridLines="0" zoomScaleNormal="100" workbookViewId="0">
      <selection activeCell="B31" sqref="B31:M31"/>
    </sheetView>
  </sheetViews>
  <sheetFormatPr defaultColWidth="9.140625" defaultRowHeight="12.75" x14ac:dyDescent="0.2"/>
  <cols>
    <col min="1" max="1" width="9.140625" style="6"/>
    <col min="2" max="2" width="43.140625" style="6" customWidth="1"/>
    <col min="3" max="16384" width="9.140625" style="6"/>
  </cols>
  <sheetData>
    <row r="4" spans="2:12" ht="14.45" customHeight="1" thickBot="1" x14ac:dyDescent="0.25">
      <c r="B4" s="855" t="s">
        <v>657</v>
      </c>
      <c r="C4" s="855"/>
      <c r="D4" s="855"/>
      <c r="E4" s="855"/>
      <c r="F4" s="855"/>
      <c r="G4" s="855"/>
      <c r="H4" s="855"/>
      <c r="I4" s="855"/>
      <c r="J4" s="855"/>
      <c r="K4" s="855"/>
      <c r="L4" s="855"/>
    </row>
    <row r="5" spans="2:12" ht="15" customHeight="1" thickBot="1" x14ac:dyDescent="0.25">
      <c r="B5" s="32"/>
      <c r="C5" s="621"/>
      <c r="D5" s="818" t="s">
        <v>6</v>
      </c>
      <c r="E5" s="819"/>
      <c r="F5" s="820"/>
      <c r="G5" s="862" t="s">
        <v>658</v>
      </c>
      <c r="H5" s="863"/>
      <c r="I5" s="864"/>
      <c r="J5" s="818" t="s">
        <v>660</v>
      </c>
      <c r="K5" s="819"/>
      <c r="L5" s="819"/>
    </row>
    <row r="6" spans="2:12" ht="13.5" thickBot="1" x14ac:dyDescent="0.25">
      <c r="B6" s="4"/>
      <c r="C6" s="622" t="s">
        <v>34</v>
      </c>
      <c r="D6" s="623">
        <v>2019</v>
      </c>
      <c r="E6" s="126">
        <v>2020</v>
      </c>
      <c r="F6" s="624">
        <v>2021</v>
      </c>
      <c r="G6" s="623">
        <v>2019</v>
      </c>
      <c r="H6" s="126">
        <v>2020</v>
      </c>
      <c r="I6" s="624">
        <v>2021</v>
      </c>
      <c r="J6" s="623">
        <v>2019</v>
      </c>
      <c r="K6" s="126">
        <v>2020</v>
      </c>
      <c r="L6" s="624">
        <v>2021</v>
      </c>
    </row>
    <row r="7" spans="2:12" ht="13.5" thickBot="1" x14ac:dyDescent="0.25">
      <c r="B7" s="552" t="s">
        <v>35</v>
      </c>
      <c r="C7" s="625" t="s">
        <v>36</v>
      </c>
      <c r="D7" s="8">
        <v>37.755870846365333</v>
      </c>
      <c r="E7" s="8">
        <v>37.961152031826138</v>
      </c>
      <c r="F7" s="626">
        <v>37.060174457803896</v>
      </c>
      <c r="G7" s="8">
        <v>38.414723310685972</v>
      </c>
      <c r="H7" s="8">
        <v>38.577586934189654</v>
      </c>
      <c r="I7" s="626">
        <v>37.650558065547102</v>
      </c>
      <c r="J7" s="8">
        <v>0.65885246432064104</v>
      </c>
      <c r="K7" s="8">
        <v>0.61643490236351628</v>
      </c>
      <c r="L7" s="626">
        <v>0.59038360774320608</v>
      </c>
    </row>
    <row r="8" spans="2:12" x14ac:dyDescent="0.2">
      <c r="B8" s="27" t="s">
        <v>37</v>
      </c>
      <c r="C8" s="627" t="s">
        <v>38</v>
      </c>
      <c r="D8" s="155">
        <v>37.755870846365333</v>
      </c>
      <c r="E8" s="155">
        <v>37.961152031826138</v>
      </c>
      <c r="F8" s="488">
        <v>37.060174457803896</v>
      </c>
      <c r="G8" s="155">
        <v>11.025805905135771</v>
      </c>
      <c r="H8" s="155">
        <v>10.775229744650137</v>
      </c>
      <c r="I8" s="488">
        <v>10.437718650308522</v>
      </c>
      <c r="J8" s="155">
        <v>0.19519994686628372</v>
      </c>
      <c r="K8" s="155">
        <v>0.17163803271096612</v>
      </c>
      <c r="L8" s="488">
        <v>0.16877243435999389</v>
      </c>
    </row>
    <row r="9" spans="2:12" x14ac:dyDescent="0.2">
      <c r="B9" s="27" t="s">
        <v>39</v>
      </c>
      <c r="C9" s="628" t="s">
        <v>40</v>
      </c>
      <c r="D9" s="155">
        <v>10.830605958269487</v>
      </c>
      <c r="E9" s="155">
        <v>10.60359171193917</v>
      </c>
      <c r="F9" s="488">
        <v>10.268946215948528</v>
      </c>
      <c r="G9" s="155">
        <v>7.3562379370377764</v>
      </c>
      <c r="H9" s="155">
        <v>7.3047551389122045</v>
      </c>
      <c r="I9" s="488">
        <v>7.2523237590045708</v>
      </c>
      <c r="J9" s="155">
        <v>9.9829208492093535E-2</v>
      </c>
      <c r="K9" s="155">
        <v>6.5178987477161776E-2</v>
      </c>
      <c r="L9" s="488">
        <v>5.4979753166037426E-2</v>
      </c>
    </row>
    <row r="10" spans="2:12" x14ac:dyDescent="0.2">
      <c r="B10" s="27" t="s">
        <v>41</v>
      </c>
      <c r="C10" s="627" t="s">
        <v>42</v>
      </c>
      <c r="D10" s="155">
        <v>7.2564087285456829</v>
      </c>
      <c r="E10" s="155">
        <v>7.2395761514350427</v>
      </c>
      <c r="F10" s="488">
        <v>7.1973440058385334</v>
      </c>
      <c r="G10" s="155">
        <v>0</v>
      </c>
      <c r="H10" s="155">
        <v>0</v>
      </c>
      <c r="I10" s="488">
        <v>0</v>
      </c>
      <c r="J10" s="155">
        <v>0</v>
      </c>
      <c r="K10" s="155">
        <v>0</v>
      </c>
      <c r="L10" s="488">
        <v>0</v>
      </c>
    </row>
    <row r="11" spans="2:12" x14ac:dyDescent="0.2">
      <c r="B11" s="27" t="s">
        <v>43</v>
      </c>
      <c r="C11" s="627" t="s">
        <v>44</v>
      </c>
      <c r="D11" s="155">
        <v>0</v>
      </c>
      <c r="E11" s="155">
        <v>0</v>
      </c>
      <c r="F11" s="488">
        <v>0</v>
      </c>
      <c r="G11" s="155">
        <v>14.470454238009079</v>
      </c>
      <c r="H11" s="155">
        <v>14.186302571492524</v>
      </c>
      <c r="I11" s="488">
        <v>13.897946313040443</v>
      </c>
      <c r="J11" s="155">
        <v>6.7145821124176663E-2</v>
      </c>
      <c r="K11" s="155">
        <v>4.6517594300055976E-2</v>
      </c>
      <c r="L11" s="488">
        <v>-9.7048434810176332E-3</v>
      </c>
    </row>
    <row r="12" spans="2:12" x14ac:dyDescent="0.2">
      <c r="B12" s="629" t="s">
        <v>45</v>
      </c>
      <c r="C12" s="630" t="s">
        <v>46</v>
      </c>
      <c r="D12" s="155">
        <v>14.403308416884903</v>
      </c>
      <c r="E12" s="155">
        <v>14.139784977192468</v>
      </c>
      <c r="F12" s="488">
        <v>13.90765115652146</v>
      </c>
      <c r="G12" s="155">
        <v>0.60496570639732994</v>
      </c>
      <c r="H12" s="155">
        <v>0.56695265385974192</v>
      </c>
      <c r="I12" s="488">
        <v>0.54676728869207558</v>
      </c>
      <c r="J12" s="155">
        <v>0</v>
      </c>
      <c r="K12" s="155">
        <v>0</v>
      </c>
      <c r="L12" s="488">
        <v>0</v>
      </c>
    </row>
    <row r="13" spans="2:12" ht="11.25" customHeight="1" x14ac:dyDescent="0.2">
      <c r="B13" s="629" t="s">
        <v>659</v>
      </c>
      <c r="C13" s="629"/>
      <c r="D13" s="155">
        <v>0.60496570639732994</v>
      </c>
      <c r="E13" s="155">
        <v>0.56695265385974192</v>
      </c>
      <c r="F13" s="488">
        <v>0.54676728869207558</v>
      </c>
      <c r="G13" s="155">
        <v>4.9572595241060178</v>
      </c>
      <c r="H13" s="155">
        <v>5.7443468252750485</v>
      </c>
      <c r="I13" s="488">
        <v>5.5158020545014903</v>
      </c>
      <c r="J13" s="155">
        <v>0.29667748783808712</v>
      </c>
      <c r="K13" s="155">
        <v>0.33310028787533241</v>
      </c>
      <c r="L13" s="488">
        <v>0.3763362636981924</v>
      </c>
    </row>
    <row r="14" spans="2:12" ht="11.25" customHeight="1" thickBot="1" x14ac:dyDescent="0.25">
      <c r="B14" s="629" t="s">
        <v>702</v>
      </c>
      <c r="C14" s="629"/>
      <c r="D14" s="155">
        <v>4.6605820362679307</v>
      </c>
      <c r="E14" s="155">
        <v>5.4112465373997161</v>
      </c>
      <c r="F14" s="488">
        <v>5.1394657908032979</v>
      </c>
      <c r="G14" s="155">
        <v>32.852498080182627</v>
      </c>
      <c r="H14" s="155">
        <v>32.266287455054865</v>
      </c>
      <c r="I14" s="488">
        <v>31.587988722353536</v>
      </c>
      <c r="J14" s="155">
        <v>0.36217497648255659</v>
      </c>
      <c r="K14" s="155">
        <v>0.28333461448818298</v>
      </c>
      <c r="L14" s="488">
        <v>0.21404734404501369</v>
      </c>
    </row>
    <row r="15" spans="2:12" ht="13.5" thickBot="1" x14ac:dyDescent="0.25">
      <c r="B15" s="4" t="s">
        <v>47</v>
      </c>
      <c r="C15" s="622" t="s">
        <v>33</v>
      </c>
      <c r="D15" s="631">
        <v>37.608685090419328</v>
      </c>
      <c r="E15" s="631">
        <v>37.517665913744231</v>
      </c>
      <c r="F15" s="632">
        <v>36.307363369109126</v>
      </c>
      <c r="G15" s="631">
        <v>38.514881244774521</v>
      </c>
      <c r="H15" s="631">
        <v>38.577586934189654</v>
      </c>
      <c r="I15" s="632">
        <v>37.45024122351812</v>
      </c>
      <c r="J15" s="631">
        <v>0.90619615435519407</v>
      </c>
      <c r="K15" s="631">
        <v>1.0599210204454215</v>
      </c>
      <c r="L15" s="632">
        <v>1.1428778544089908</v>
      </c>
    </row>
    <row r="16" spans="2:12" ht="16.5" customHeight="1" x14ac:dyDescent="0.2">
      <c r="B16" s="27" t="s">
        <v>48</v>
      </c>
      <c r="C16" s="627" t="s">
        <v>49</v>
      </c>
      <c r="D16" s="155">
        <v>8.783678253099513</v>
      </c>
      <c r="E16" s="155">
        <v>8.8017482916100018</v>
      </c>
      <c r="F16" s="488">
        <v>8.7476571766004625</v>
      </c>
      <c r="G16" s="155">
        <v>9.2002779242019432</v>
      </c>
      <c r="H16" s="155">
        <v>9.4862997614244815</v>
      </c>
      <c r="I16" s="488">
        <v>9.251354696911223</v>
      </c>
      <c r="J16" s="155">
        <v>0.41659967110243024</v>
      </c>
      <c r="K16" s="155">
        <v>0.68455146981447967</v>
      </c>
      <c r="L16" s="488">
        <v>0.50369752031076054</v>
      </c>
    </row>
    <row r="17" spans="2:13" x14ac:dyDescent="0.2">
      <c r="B17" s="27" t="s">
        <v>50</v>
      </c>
      <c r="C17" s="627" t="s">
        <v>51</v>
      </c>
      <c r="D17" s="155">
        <v>5.4146091407060073</v>
      </c>
      <c r="E17" s="155">
        <v>5.4517869322394805</v>
      </c>
      <c r="F17" s="488">
        <v>5.1169624765604684</v>
      </c>
      <c r="G17" s="155">
        <v>5.6182047186310893</v>
      </c>
      <c r="H17" s="155">
        <v>5.8316960448107951</v>
      </c>
      <c r="I17" s="488">
        <v>5.5755242387376844</v>
      </c>
      <c r="J17" s="155">
        <v>0.20359557792508198</v>
      </c>
      <c r="K17" s="155">
        <v>0.37990911257131454</v>
      </c>
      <c r="L17" s="488">
        <v>0.458561762177216</v>
      </c>
    </row>
    <row r="18" spans="2:13" x14ac:dyDescent="0.2">
      <c r="B18" s="27" t="s">
        <v>52</v>
      </c>
      <c r="C18" s="627" t="s">
        <v>306</v>
      </c>
      <c r="D18" s="155">
        <v>0.44521928028604046</v>
      </c>
      <c r="E18" s="155">
        <v>0.42344691280826324</v>
      </c>
      <c r="F18" s="488">
        <v>0.30073791603812461</v>
      </c>
      <c r="G18" s="155">
        <v>0.47033500126961791</v>
      </c>
      <c r="H18" s="155">
        <v>0.44325322239834059</v>
      </c>
      <c r="I18" s="488">
        <v>0.31667780537573897</v>
      </c>
      <c r="J18" s="155">
        <v>2.511572098357745E-2</v>
      </c>
      <c r="K18" s="155">
        <v>1.9806309590077342E-2</v>
      </c>
      <c r="L18" s="488">
        <v>1.5939889337614366E-2</v>
      </c>
    </row>
    <row r="19" spans="2:13" x14ac:dyDescent="0.2">
      <c r="B19" s="27" t="s">
        <v>53</v>
      </c>
      <c r="C19" s="627" t="s">
        <v>54</v>
      </c>
      <c r="D19" s="155">
        <v>1.162727244126899</v>
      </c>
      <c r="E19" s="155">
        <v>1.0627113065359584</v>
      </c>
      <c r="F19" s="488">
        <v>1.0190039825624526</v>
      </c>
      <c r="G19" s="155">
        <v>1.162727244126899</v>
      </c>
      <c r="H19" s="155">
        <v>1.0627113065359584</v>
      </c>
      <c r="I19" s="488">
        <v>1.0190039825624526</v>
      </c>
      <c r="J19" s="155">
        <v>0</v>
      </c>
      <c r="K19" s="155">
        <v>0</v>
      </c>
      <c r="L19" s="488">
        <v>0</v>
      </c>
    </row>
    <row r="20" spans="2:13" x14ac:dyDescent="0.2">
      <c r="B20" s="27" t="s">
        <v>55</v>
      </c>
      <c r="C20" s="627" t="s">
        <v>307</v>
      </c>
      <c r="D20" s="155">
        <v>17.336550689769712</v>
      </c>
      <c r="E20" s="155">
        <v>16.511555257472487</v>
      </c>
      <c r="F20" s="488">
        <v>15.843737183550513</v>
      </c>
      <c r="G20" s="155">
        <v>17.417441995975686</v>
      </c>
      <c r="H20" s="155">
        <v>16.621177596182012</v>
      </c>
      <c r="I20" s="488">
        <v>16.001947763789634</v>
      </c>
      <c r="J20" s="155">
        <v>8.0891306205973734E-2</v>
      </c>
      <c r="K20" s="155">
        <v>0.10962233870952431</v>
      </c>
      <c r="L20" s="488">
        <v>0.15821058023912116</v>
      </c>
    </row>
    <row r="21" spans="2:13" x14ac:dyDescent="0.2">
      <c r="B21" s="27" t="s">
        <v>661</v>
      </c>
      <c r="C21" s="627"/>
      <c r="D21" s="155">
        <v>0.17082153258606653</v>
      </c>
      <c r="E21" s="155">
        <v>0.16206661909817927</v>
      </c>
      <c r="F21" s="488">
        <v>0.15454789091628873</v>
      </c>
      <c r="G21" s="155">
        <v>0.17082153258606653</v>
      </c>
      <c r="H21" s="155">
        <v>0.16206661909817927</v>
      </c>
      <c r="I21" s="488">
        <v>0.15454789091628873</v>
      </c>
      <c r="J21" s="155">
        <v>0</v>
      </c>
      <c r="K21" s="155">
        <v>0</v>
      </c>
      <c r="L21" s="488">
        <v>0</v>
      </c>
    </row>
    <row r="22" spans="2:13" x14ac:dyDescent="0.2">
      <c r="B22" s="27" t="s">
        <v>56</v>
      </c>
      <c r="C22" s="627" t="s">
        <v>57</v>
      </c>
      <c r="D22" s="155">
        <v>2.3909830476695015</v>
      </c>
      <c r="E22" s="155">
        <v>2.7266671748712632</v>
      </c>
      <c r="F22" s="488">
        <v>2.6894050457816654</v>
      </c>
      <c r="G22" s="155">
        <v>2.3896655547606001</v>
      </c>
      <c r="H22" s="155">
        <v>2.4906359585934963</v>
      </c>
      <c r="I22" s="488">
        <v>2.6827017808121796</v>
      </c>
      <c r="J22" s="155">
        <v>-1.3174929089014853E-3</v>
      </c>
      <c r="K22" s="155">
        <v>-0.23603121627776691</v>
      </c>
      <c r="L22" s="488">
        <v>-6.7032649694858115E-3</v>
      </c>
    </row>
    <row r="23" spans="2:13" ht="13.5" thickBot="1" x14ac:dyDescent="0.25">
      <c r="B23" s="27" t="s">
        <v>58</v>
      </c>
      <c r="C23" s="627" t="s">
        <v>59</v>
      </c>
      <c r="D23" s="155">
        <v>0.14724978817751908</v>
      </c>
      <c r="E23" s="155">
        <v>0.15663037152483036</v>
      </c>
      <c r="F23" s="488">
        <v>0.15410863993692422</v>
      </c>
      <c r="G23" s="155">
        <v>0.20062598666430939</v>
      </c>
      <c r="H23" s="155">
        <v>0.1950137911570437</v>
      </c>
      <c r="I23" s="488">
        <v>0.14248374755614718</v>
      </c>
      <c r="J23" s="155">
        <v>5.3376198486790316E-2</v>
      </c>
      <c r="K23" s="155">
        <v>3.8383419632213339E-2</v>
      </c>
      <c r="L23" s="488">
        <v>-1.1624892380777047E-2</v>
      </c>
    </row>
    <row r="24" spans="2:13" x14ac:dyDescent="0.2">
      <c r="B24" s="633" t="s">
        <v>662</v>
      </c>
      <c r="C24" s="634"/>
      <c r="D24" s="635">
        <v>1.9276676465841354</v>
      </c>
      <c r="E24" s="635">
        <v>2.3831196666819459</v>
      </c>
      <c r="F24" s="636">
        <v>2.4357509480785189</v>
      </c>
      <c r="G24" s="635">
        <v>2.0556028191443771</v>
      </c>
      <c r="H24" s="635">
        <v>2.4467992530875251</v>
      </c>
      <c r="I24" s="636">
        <v>2.4605472077730606</v>
      </c>
      <c r="J24" s="635">
        <v>0.12793517256024178</v>
      </c>
      <c r="K24" s="635">
        <v>6.3679586405579247E-2</v>
      </c>
      <c r="L24" s="636">
        <v>2.4796259694541689E-2</v>
      </c>
    </row>
    <row r="25" spans="2:13" ht="13.5" thickBot="1" x14ac:dyDescent="0.25">
      <c r="B25" s="552" t="s">
        <v>663</v>
      </c>
      <c r="C25" s="625" t="s">
        <v>60</v>
      </c>
      <c r="D25" s="8">
        <v>0.1471857559460048</v>
      </c>
      <c r="E25" s="8">
        <v>0.44348611808190697</v>
      </c>
      <c r="F25" s="626">
        <v>0.75281108869477009</v>
      </c>
      <c r="G25" s="8">
        <v>-0.10015793408854989</v>
      </c>
      <c r="H25" s="8">
        <v>0</v>
      </c>
      <c r="I25" s="626">
        <v>0.20031684202898248</v>
      </c>
      <c r="J25" s="8">
        <v>-0.2473436900345547</v>
      </c>
      <c r="K25" s="8">
        <v>-0.44348611808190697</v>
      </c>
      <c r="L25" s="626">
        <v>-0.55249424666578761</v>
      </c>
    </row>
    <row r="26" spans="2:13" x14ac:dyDescent="0.2">
      <c r="B26" s="865" t="s">
        <v>664</v>
      </c>
      <c r="C26" s="865"/>
      <c r="D26" s="865"/>
      <c r="E26" s="865"/>
      <c r="F26" s="865"/>
      <c r="G26" s="865"/>
      <c r="H26" s="865"/>
      <c r="I26" s="865"/>
      <c r="J26" s="865"/>
      <c r="K26" s="866" t="s">
        <v>3</v>
      </c>
      <c r="L26" s="866"/>
    </row>
    <row r="27" spans="2:13" x14ac:dyDescent="0.2">
      <c r="B27" s="861" t="s">
        <v>665</v>
      </c>
      <c r="C27" s="861"/>
      <c r="D27" s="861"/>
      <c r="E27" s="861"/>
      <c r="F27" s="861"/>
      <c r="G27" s="861"/>
      <c r="H27" s="861"/>
      <c r="I27" s="861"/>
      <c r="J27" s="861"/>
      <c r="K27" s="861"/>
      <c r="L27" s="861"/>
    </row>
    <row r="28" spans="2:13" x14ac:dyDescent="0.2">
      <c r="B28" s="861" t="s">
        <v>223</v>
      </c>
      <c r="C28" s="861"/>
      <c r="D28" s="861"/>
      <c r="E28" s="861"/>
      <c r="F28" s="861"/>
      <c r="G28" s="861"/>
      <c r="H28" s="861"/>
      <c r="I28" s="861"/>
      <c r="J28" s="861"/>
      <c r="K28" s="861"/>
      <c r="L28" s="861"/>
    </row>
    <row r="31" spans="2:13" ht="13.5" thickBot="1" x14ac:dyDescent="0.25">
      <c r="B31" s="855" t="s">
        <v>951</v>
      </c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</row>
    <row r="32" spans="2:13" ht="14.25" thickBot="1" x14ac:dyDescent="0.25">
      <c r="B32" s="695"/>
      <c r="C32" s="696"/>
      <c r="D32" s="853" t="s">
        <v>6</v>
      </c>
      <c r="E32" s="854"/>
      <c r="F32" s="856"/>
      <c r="G32" s="857" t="s">
        <v>244</v>
      </c>
      <c r="H32" s="858"/>
      <c r="I32" s="859"/>
      <c r="J32" s="853" t="s">
        <v>952</v>
      </c>
      <c r="K32" s="854"/>
      <c r="L32" s="854"/>
      <c r="M32" s="854"/>
    </row>
    <row r="33" spans="2:13" ht="14.25" thickBot="1" x14ac:dyDescent="0.25">
      <c r="B33" s="699"/>
      <c r="C33" s="700" t="s">
        <v>953</v>
      </c>
      <c r="D33" s="698">
        <v>2019</v>
      </c>
      <c r="E33" s="701">
        <v>2020</v>
      </c>
      <c r="F33" s="702">
        <v>2021</v>
      </c>
      <c r="G33" s="698">
        <v>2019</v>
      </c>
      <c r="H33" s="698">
        <v>2020</v>
      </c>
      <c r="I33" s="702">
        <v>2021</v>
      </c>
      <c r="J33" s="860">
        <v>2019</v>
      </c>
      <c r="K33" s="858"/>
      <c r="L33" s="698">
        <v>2020</v>
      </c>
      <c r="M33" s="698">
        <v>2021</v>
      </c>
    </row>
    <row r="34" spans="2:13" ht="14.25" thickBot="1" x14ac:dyDescent="0.25">
      <c r="B34" s="703" t="s">
        <v>954</v>
      </c>
      <c r="C34" s="704" t="s">
        <v>36</v>
      </c>
      <c r="D34" s="697" t="s">
        <v>955</v>
      </c>
      <c r="E34" s="697" t="s">
        <v>956</v>
      </c>
      <c r="F34" s="705" t="s">
        <v>957</v>
      </c>
      <c r="G34" s="697" t="s">
        <v>958</v>
      </c>
      <c r="H34" s="697" t="s">
        <v>959</v>
      </c>
      <c r="I34" s="705" t="s">
        <v>960</v>
      </c>
      <c r="J34" s="853" t="s">
        <v>961</v>
      </c>
      <c r="K34" s="854"/>
      <c r="L34" s="697" t="s">
        <v>962</v>
      </c>
      <c r="M34" s="697" t="s">
        <v>962</v>
      </c>
    </row>
    <row r="35" spans="2:13" ht="13.5" x14ac:dyDescent="0.2">
      <c r="B35" s="706" t="s">
        <v>963</v>
      </c>
      <c r="C35" s="707" t="s">
        <v>38</v>
      </c>
      <c r="D35" s="708" t="s">
        <v>964</v>
      </c>
      <c r="E35" s="708" t="s">
        <v>965</v>
      </c>
      <c r="F35" s="709" t="s">
        <v>966</v>
      </c>
      <c r="G35" s="708" t="s">
        <v>967</v>
      </c>
      <c r="H35" s="708" t="s">
        <v>964</v>
      </c>
      <c r="I35" s="709" t="s">
        <v>968</v>
      </c>
      <c r="J35" s="845" t="s">
        <v>969</v>
      </c>
      <c r="K35" s="846"/>
      <c r="L35" s="708" t="s">
        <v>969</v>
      </c>
      <c r="M35" s="708" t="s">
        <v>969</v>
      </c>
    </row>
    <row r="36" spans="2:13" ht="13.5" x14ac:dyDescent="0.2">
      <c r="B36" s="706" t="s">
        <v>970</v>
      </c>
      <c r="C36" s="710" t="s">
        <v>40</v>
      </c>
      <c r="D36" s="708" t="s">
        <v>971</v>
      </c>
      <c r="E36" s="708" t="s">
        <v>972</v>
      </c>
      <c r="F36" s="709" t="s">
        <v>972</v>
      </c>
      <c r="G36" s="708" t="s">
        <v>973</v>
      </c>
      <c r="H36" s="708" t="s">
        <v>971</v>
      </c>
      <c r="I36" s="709" t="s">
        <v>971</v>
      </c>
      <c r="J36" s="851" t="s">
        <v>974</v>
      </c>
      <c r="K36" s="852"/>
      <c r="L36" s="708" t="s">
        <v>974</v>
      </c>
      <c r="M36" s="708" t="s">
        <v>974</v>
      </c>
    </row>
    <row r="37" spans="2:13" ht="13.5" x14ac:dyDescent="0.2">
      <c r="B37" s="706" t="s">
        <v>975</v>
      </c>
      <c r="C37" s="707" t="s">
        <v>42</v>
      </c>
      <c r="D37" s="708" t="s">
        <v>976</v>
      </c>
      <c r="E37" s="708" t="s">
        <v>976</v>
      </c>
      <c r="F37" s="709" t="s">
        <v>976</v>
      </c>
      <c r="G37" s="708" t="s">
        <v>976</v>
      </c>
      <c r="H37" s="708" t="s">
        <v>976</v>
      </c>
      <c r="I37" s="709" t="s">
        <v>976</v>
      </c>
      <c r="J37" s="851" t="s">
        <v>976</v>
      </c>
      <c r="K37" s="852"/>
      <c r="L37" s="708" t="s">
        <v>976</v>
      </c>
      <c r="M37" s="708" t="s">
        <v>976</v>
      </c>
    </row>
    <row r="38" spans="2:13" ht="13.5" x14ac:dyDescent="0.2">
      <c r="B38" s="706" t="s">
        <v>977</v>
      </c>
      <c r="C38" s="707" t="s">
        <v>44</v>
      </c>
      <c r="D38" s="708" t="s">
        <v>978</v>
      </c>
      <c r="E38" s="708" t="s">
        <v>979</v>
      </c>
      <c r="F38" s="709" t="s">
        <v>980</v>
      </c>
      <c r="G38" s="708" t="s">
        <v>981</v>
      </c>
      <c r="H38" s="708" t="s">
        <v>982</v>
      </c>
      <c r="I38" s="709" t="s">
        <v>980</v>
      </c>
      <c r="J38" s="851" t="s">
        <v>974</v>
      </c>
      <c r="K38" s="852"/>
      <c r="L38" s="708" t="s">
        <v>976</v>
      </c>
      <c r="M38" s="708" t="s">
        <v>976</v>
      </c>
    </row>
    <row r="39" spans="2:13" ht="13.5" x14ac:dyDescent="0.2">
      <c r="B39" s="711" t="s">
        <v>983</v>
      </c>
      <c r="C39" s="709" t="s">
        <v>46</v>
      </c>
      <c r="D39" s="708" t="s">
        <v>962</v>
      </c>
      <c r="E39" s="708" t="s">
        <v>962</v>
      </c>
      <c r="F39" s="709" t="s">
        <v>984</v>
      </c>
      <c r="G39" s="708" t="s">
        <v>962</v>
      </c>
      <c r="H39" s="708" t="s">
        <v>962</v>
      </c>
      <c r="I39" s="709" t="s">
        <v>984</v>
      </c>
      <c r="J39" s="851" t="s">
        <v>976</v>
      </c>
      <c r="K39" s="852"/>
      <c r="L39" s="708" t="s">
        <v>976</v>
      </c>
      <c r="M39" s="708" t="s">
        <v>976</v>
      </c>
    </row>
    <row r="40" spans="2:13" ht="14.25" thickBot="1" x14ac:dyDescent="0.25">
      <c r="B40" s="711" t="s">
        <v>985</v>
      </c>
      <c r="C40" s="711"/>
      <c r="D40" s="708" t="s">
        <v>986</v>
      </c>
      <c r="E40" s="708" t="s">
        <v>987</v>
      </c>
      <c r="F40" s="709" t="s">
        <v>988</v>
      </c>
      <c r="G40" s="708" t="s">
        <v>989</v>
      </c>
      <c r="H40" s="708" t="s">
        <v>990</v>
      </c>
      <c r="I40" s="709" t="s">
        <v>991</v>
      </c>
      <c r="J40" s="843" t="s">
        <v>992</v>
      </c>
      <c r="K40" s="844"/>
      <c r="L40" s="708" t="s">
        <v>992</v>
      </c>
      <c r="M40" s="708" t="s">
        <v>993</v>
      </c>
    </row>
    <row r="41" spans="2:13" ht="14.25" thickBot="1" x14ac:dyDescent="0.25">
      <c r="B41" s="699" t="s">
        <v>994</v>
      </c>
      <c r="C41" s="700" t="s">
        <v>33</v>
      </c>
      <c r="D41" s="712" t="s">
        <v>995</v>
      </c>
      <c r="E41" s="712" t="s">
        <v>996</v>
      </c>
      <c r="F41" s="713" t="s">
        <v>997</v>
      </c>
      <c r="G41" s="712" t="s">
        <v>998</v>
      </c>
      <c r="H41" s="712" t="s">
        <v>959</v>
      </c>
      <c r="I41" s="713" t="s">
        <v>996</v>
      </c>
      <c r="J41" s="853" t="s">
        <v>999</v>
      </c>
      <c r="K41" s="854"/>
      <c r="L41" s="712" t="s">
        <v>1000</v>
      </c>
      <c r="M41" s="712" t="s">
        <v>1000</v>
      </c>
    </row>
    <row r="42" spans="2:13" ht="13.5" x14ac:dyDescent="0.2">
      <c r="B42" s="706" t="s">
        <v>1001</v>
      </c>
      <c r="C42" s="707" t="s">
        <v>49</v>
      </c>
      <c r="D42" s="708" t="s">
        <v>1002</v>
      </c>
      <c r="E42" s="708" t="s">
        <v>1002</v>
      </c>
      <c r="F42" s="709" t="s">
        <v>1003</v>
      </c>
      <c r="G42" s="708" t="s">
        <v>1004</v>
      </c>
      <c r="H42" s="708" t="s">
        <v>1005</v>
      </c>
      <c r="I42" s="709" t="s">
        <v>1006</v>
      </c>
      <c r="J42" s="845" t="s">
        <v>993</v>
      </c>
      <c r="K42" s="846"/>
      <c r="L42" s="708" t="s">
        <v>961</v>
      </c>
      <c r="M42" s="708" t="s">
        <v>984</v>
      </c>
    </row>
    <row r="43" spans="2:13" ht="13.5" x14ac:dyDescent="0.2">
      <c r="B43" s="706" t="s">
        <v>1007</v>
      </c>
      <c r="C43" s="707" t="s">
        <v>51</v>
      </c>
      <c r="D43" s="708" t="s">
        <v>987</v>
      </c>
      <c r="E43" s="708" t="s">
        <v>991</v>
      </c>
      <c r="F43" s="709" t="s">
        <v>988</v>
      </c>
      <c r="G43" s="708" t="s">
        <v>1008</v>
      </c>
      <c r="H43" s="708" t="s">
        <v>1009</v>
      </c>
      <c r="I43" s="709" t="s">
        <v>1008</v>
      </c>
      <c r="J43" s="851" t="s">
        <v>969</v>
      </c>
      <c r="K43" s="852"/>
      <c r="L43" s="708" t="s">
        <v>993</v>
      </c>
      <c r="M43" s="708" t="s">
        <v>984</v>
      </c>
    </row>
    <row r="44" spans="2:13" ht="13.5" x14ac:dyDescent="0.2">
      <c r="B44" s="706" t="s">
        <v>1010</v>
      </c>
      <c r="C44" s="707" t="s">
        <v>306</v>
      </c>
      <c r="D44" s="708" t="s">
        <v>993</v>
      </c>
      <c r="E44" s="708" t="s">
        <v>993</v>
      </c>
      <c r="F44" s="709" t="s">
        <v>992</v>
      </c>
      <c r="G44" s="708" t="s">
        <v>984</v>
      </c>
      <c r="H44" s="708" t="s">
        <v>993</v>
      </c>
      <c r="I44" s="709" t="s">
        <v>992</v>
      </c>
      <c r="J44" s="851" t="s">
        <v>976</v>
      </c>
      <c r="K44" s="852"/>
      <c r="L44" s="708" t="s">
        <v>976</v>
      </c>
      <c r="M44" s="708" t="s">
        <v>976</v>
      </c>
    </row>
    <row r="45" spans="2:13" ht="13.5" x14ac:dyDescent="0.2">
      <c r="B45" s="706" t="s">
        <v>1011</v>
      </c>
      <c r="C45" s="707" t="s">
        <v>54</v>
      </c>
      <c r="D45" s="708" t="s">
        <v>1012</v>
      </c>
      <c r="E45" s="708" t="s">
        <v>1000</v>
      </c>
      <c r="F45" s="709" t="s">
        <v>1013</v>
      </c>
      <c r="G45" s="708" t="s">
        <v>1012</v>
      </c>
      <c r="H45" s="708" t="s">
        <v>1000</v>
      </c>
      <c r="I45" s="709" t="s">
        <v>1013</v>
      </c>
      <c r="J45" s="851" t="s">
        <v>976</v>
      </c>
      <c r="K45" s="852"/>
      <c r="L45" s="708" t="s">
        <v>976</v>
      </c>
      <c r="M45" s="708" t="s">
        <v>976</v>
      </c>
    </row>
    <row r="46" spans="2:13" ht="13.5" x14ac:dyDescent="0.2">
      <c r="B46" s="706" t="s">
        <v>1014</v>
      </c>
      <c r="C46" s="707" t="s">
        <v>307</v>
      </c>
      <c r="D46" s="708" t="s">
        <v>1015</v>
      </c>
      <c r="E46" s="708" t="s">
        <v>1016</v>
      </c>
      <c r="F46" s="709" t="s">
        <v>1017</v>
      </c>
      <c r="G46" s="708" t="s">
        <v>1018</v>
      </c>
      <c r="H46" s="708" t="s">
        <v>1019</v>
      </c>
      <c r="I46" s="709" t="s">
        <v>1020</v>
      </c>
      <c r="J46" s="851" t="s">
        <v>974</v>
      </c>
      <c r="K46" s="852"/>
      <c r="L46" s="708" t="s">
        <v>974</v>
      </c>
      <c r="M46" s="708" t="s">
        <v>969</v>
      </c>
    </row>
    <row r="47" spans="2:13" ht="13.5" x14ac:dyDescent="0.2">
      <c r="B47" s="706" t="s">
        <v>1021</v>
      </c>
      <c r="C47" s="707"/>
      <c r="D47" s="708" t="s">
        <v>969</v>
      </c>
      <c r="E47" s="708" t="s">
        <v>969</v>
      </c>
      <c r="F47" s="709" t="s">
        <v>969</v>
      </c>
      <c r="G47" s="708" t="s">
        <v>969</v>
      </c>
      <c r="H47" s="708" t="s">
        <v>969</v>
      </c>
      <c r="I47" s="709" t="s">
        <v>969</v>
      </c>
      <c r="J47" s="851" t="s">
        <v>976</v>
      </c>
      <c r="K47" s="852"/>
      <c r="L47" s="708" t="s">
        <v>976</v>
      </c>
      <c r="M47" s="708" t="s">
        <v>976</v>
      </c>
    </row>
    <row r="48" spans="2:13" ht="13.5" x14ac:dyDescent="0.2">
      <c r="B48" s="706" t="s">
        <v>1022</v>
      </c>
      <c r="C48" s="707" t="s">
        <v>57</v>
      </c>
      <c r="D48" s="708" t="s">
        <v>1023</v>
      </c>
      <c r="E48" s="708" t="s">
        <v>1024</v>
      </c>
      <c r="F48" s="709" t="s">
        <v>1024</v>
      </c>
      <c r="G48" s="708" t="s">
        <v>1023</v>
      </c>
      <c r="H48" s="708" t="s">
        <v>1025</v>
      </c>
      <c r="I48" s="709" t="s">
        <v>1024</v>
      </c>
      <c r="J48" s="851" t="s">
        <v>976</v>
      </c>
      <c r="K48" s="852"/>
      <c r="L48" s="708" t="s">
        <v>1026</v>
      </c>
      <c r="M48" s="708" t="s">
        <v>976</v>
      </c>
    </row>
    <row r="49" spans="2:13" ht="14.25" thickBot="1" x14ac:dyDescent="0.25">
      <c r="B49" s="706" t="s">
        <v>1027</v>
      </c>
      <c r="C49" s="707" t="s">
        <v>59</v>
      </c>
      <c r="D49" s="708" t="s">
        <v>974</v>
      </c>
      <c r="E49" s="708" t="s">
        <v>969</v>
      </c>
      <c r="F49" s="709" t="s">
        <v>969</v>
      </c>
      <c r="G49" s="708" t="s">
        <v>969</v>
      </c>
      <c r="H49" s="708" t="s">
        <v>969</v>
      </c>
      <c r="I49" s="709" t="s">
        <v>974</v>
      </c>
      <c r="J49" s="843" t="s">
        <v>974</v>
      </c>
      <c r="K49" s="844"/>
      <c r="L49" s="708" t="s">
        <v>976</v>
      </c>
      <c r="M49" s="708" t="s">
        <v>976</v>
      </c>
    </row>
    <row r="50" spans="2:13" ht="13.5" x14ac:dyDescent="0.2">
      <c r="B50" s="714" t="s">
        <v>1028</v>
      </c>
      <c r="C50" s="715"/>
      <c r="D50" s="716" t="s">
        <v>1029</v>
      </c>
      <c r="E50" s="716" t="s">
        <v>1023</v>
      </c>
      <c r="F50" s="717" t="s">
        <v>1023</v>
      </c>
      <c r="G50" s="716" t="s">
        <v>1030</v>
      </c>
      <c r="H50" s="716" t="s">
        <v>1023</v>
      </c>
      <c r="I50" s="717" t="s">
        <v>1025</v>
      </c>
      <c r="J50" s="845" t="s">
        <v>974</v>
      </c>
      <c r="K50" s="846"/>
      <c r="L50" s="716" t="s">
        <v>974</v>
      </c>
      <c r="M50" s="716" t="s">
        <v>976</v>
      </c>
    </row>
    <row r="51" spans="2:13" ht="14.25" thickBot="1" x14ac:dyDescent="0.25">
      <c r="B51" s="703" t="s">
        <v>1031</v>
      </c>
      <c r="C51" s="704" t="s">
        <v>1032</v>
      </c>
      <c r="D51" s="697" t="s">
        <v>974</v>
      </c>
      <c r="E51" s="697" t="s">
        <v>993</v>
      </c>
      <c r="F51" s="705" t="s">
        <v>1033</v>
      </c>
      <c r="G51" s="697" t="s">
        <v>1034</v>
      </c>
      <c r="H51" s="697" t="s">
        <v>976</v>
      </c>
      <c r="I51" s="697" t="s">
        <v>969</v>
      </c>
      <c r="J51" s="847" t="s">
        <v>1026</v>
      </c>
      <c r="K51" s="848"/>
      <c r="L51" s="697" t="s">
        <v>1035</v>
      </c>
      <c r="M51" s="697" t="s">
        <v>1036</v>
      </c>
    </row>
    <row r="52" spans="2:13" x14ac:dyDescent="0.2">
      <c r="B52" s="849" t="s">
        <v>1037</v>
      </c>
      <c r="C52" s="849"/>
      <c r="D52" s="849"/>
      <c r="E52" s="849"/>
      <c r="F52" s="849"/>
      <c r="G52" s="849"/>
      <c r="H52" s="849"/>
      <c r="I52" s="849"/>
      <c r="J52" s="849"/>
      <c r="K52" s="850" t="s">
        <v>1038</v>
      </c>
      <c r="L52" s="850"/>
      <c r="M52" s="850"/>
    </row>
    <row r="53" spans="2:13" x14ac:dyDescent="0.2">
      <c r="B53" s="842" t="s">
        <v>665</v>
      </c>
      <c r="C53" s="842"/>
      <c r="D53" s="842"/>
      <c r="E53" s="842"/>
      <c r="F53" s="842"/>
      <c r="G53" s="842"/>
      <c r="H53" s="842"/>
      <c r="I53" s="842"/>
      <c r="J53" s="842"/>
      <c r="K53" s="842"/>
      <c r="L53" s="842"/>
      <c r="M53" s="842"/>
    </row>
    <row r="54" spans="2:13" x14ac:dyDescent="0.2">
      <c r="B54" s="842" t="s">
        <v>223</v>
      </c>
      <c r="C54" s="842"/>
      <c r="D54" s="842"/>
      <c r="E54" s="842"/>
      <c r="F54" s="842"/>
      <c r="G54" s="842"/>
      <c r="H54" s="842"/>
      <c r="I54" s="842"/>
      <c r="J54" s="842"/>
      <c r="K54" s="842"/>
      <c r="L54" s="842"/>
      <c r="M54" s="842"/>
    </row>
  </sheetData>
  <mergeCells count="35">
    <mergeCell ref="B27:L27"/>
    <mergeCell ref="B28:L28"/>
    <mergeCell ref="D5:F5"/>
    <mergeCell ref="B4:L4"/>
    <mergeCell ref="G5:I5"/>
    <mergeCell ref="J5:L5"/>
    <mergeCell ref="B26:J26"/>
    <mergeCell ref="K26:L26"/>
    <mergeCell ref="B31:M31"/>
    <mergeCell ref="D32:F32"/>
    <mergeCell ref="G32:I32"/>
    <mergeCell ref="J32:M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B53:M53"/>
    <mergeCell ref="B54:M54"/>
    <mergeCell ref="J49:K49"/>
    <mergeCell ref="J50:K50"/>
    <mergeCell ref="J51:K51"/>
    <mergeCell ref="B52:J52"/>
    <mergeCell ref="K52:M5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B3:N59"/>
  <sheetViews>
    <sheetView showGridLines="0" workbookViewId="0">
      <selection activeCell="B31" sqref="B31:E31"/>
    </sheetView>
  </sheetViews>
  <sheetFormatPr defaultColWidth="9.140625" defaultRowHeight="12.75" x14ac:dyDescent="0.2"/>
  <cols>
    <col min="1" max="1" width="9.140625" style="6"/>
    <col min="2" max="2" width="84.140625" style="6" customWidth="1"/>
    <col min="3" max="16384" width="9.140625" style="6"/>
  </cols>
  <sheetData>
    <row r="3" spans="2:14" x14ac:dyDescent="0.2">
      <c r="B3" s="871" t="s">
        <v>666</v>
      </c>
      <c r="C3" s="871"/>
      <c r="D3" s="871"/>
      <c r="E3" s="871"/>
      <c r="F3" s="135"/>
      <c r="G3" s="135"/>
      <c r="H3" s="135"/>
      <c r="I3" s="135"/>
      <c r="J3" s="135"/>
      <c r="K3" s="135"/>
      <c r="L3" s="135"/>
      <c r="M3" s="135"/>
      <c r="N3" s="135"/>
    </row>
    <row r="4" spans="2:14" ht="13.5" thickBot="1" x14ac:dyDescent="0.25">
      <c r="B4" s="459"/>
      <c r="C4" s="460" t="s">
        <v>667</v>
      </c>
      <c r="D4" s="461" t="s">
        <v>1</v>
      </c>
      <c r="E4" s="461" t="s">
        <v>4</v>
      </c>
      <c r="F4" s="135"/>
      <c r="G4" s="135"/>
      <c r="H4" s="135"/>
      <c r="I4" s="135"/>
      <c r="J4" s="135"/>
      <c r="K4" s="135"/>
      <c r="L4" s="135"/>
      <c r="M4" s="135"/>
      <c r="N4" s="135"/>
    </row>
    <row r="5" spans="2:14" x14ac:dyDescent="0.2">
      <c r="B5" s="462" t="s">
        <v>668</v>
      </c>
      <c r="C5" s="463" t="s">
        <v>320</v>
      </c>
      <c r="D5" s="464">
        <v>63</v>
      </c>
      <c r="E5" s="464">
        <v>7.0000000000000007E-2</v>
      </c>
      <c r="F5" s="135"/>
      <c r="G5" s="135"/>
      <c r="H5" s="135"/>
      <c r="I5" s="135"/>
      <c r="J5" s="135"/>
      <c r="K5" s="135"/>
      <c r="L5" s="135"/>
      <c r="M5" s="135"/>
      <c r="N5" s="135"/>
    </row>
    <row r="6" spans="2:14" x14ac:dyDescent="0.2">
      <c r="B6" s="462" t="s">
        <v>669</v>
      </c>
      <c r="C6" s="463" t="s">
        <v>670</v>
      </c>
      <c r="D6" s="464">
        <v>73</v>
      </c>
      <c r="E6" s="464">
        <v>0.08</v>
      </c>
      <c r="F6" s="135"/>
      <c r="G6" s="135"/>
      <c r="H6" s="135"/>
      <c r="I6" s="135"/>
      <c r="J6" s="135"/>
      <c r="K6" s="135"/>
      <c r="L6" s="135"/>
      <c r="M6" s="135"/>
      <c r="N6" s="135"/>
    </row>
    <row r="7" spans="2:14" ht="13.5" thickBot="1" x14ac:dyDescent="0.25">
      <c r="B7" s="459" t="s">
        <v>671</v>
      </c>
      <c r="C7" s="465" t="s">
        <v>320</v>
      </c>
      <c r="D7" s="466">
        <v>298</v>
      </c>
      <c r="E7" s="466">
        <v>0.33</v>
      </c>
      <c r="F7" s="135"/>
      <c r="G7" s="135"/>
      <c r="H7" s="135"/>
      <c r="I7" s="135"/>
      <c r="J7" s="135"/>
      <c r="K7" s="135"/>
      <c r="L7" s="135"/>
      <c r="M7" s="135"/>
      <c r="N7" s="135"/>
    </row>
    <row r="8" spans="2:14" ht="13.5" thickBot="1" x14ac:dyDescent="0.25">
      <c r="B8" s="467" t="s">
        <v>321</v>
      </c>
      <c r="C8" s="460"/>
      <c r="D8" s="461">
        <v>434</v>
      </c>
      <c r="E8" s="461">
        <v>0.48</v>
      </c>
      <c r="F8" s="135"/>
      <c r="G8" s="135"/>
      <c r="H8" s="135"/>
      <c r="I8" s="135"/>
      <c r="J8" s="135"/>
      <c r="K8" s="135"/>
      <c r="L8" s="135"/>
      <c r="M8" s="135"/>
      <c r="N8" s="135"/>
    </row>
    <row r="9" spans="2:14" ht="13.5" thickBot="1" x14ac:dyDescent="0.25">
      <c r="B9" s="459" t="s">
        <v>672</v>
      </c>
      <c r="C9" s="460"/>
      <c r="D9" s="466">
        <v>479</v>
      </c>
      <c r="E9" s="466">
        <v>0.54</v>
      </c>
      <c r="F9" s="135"/>
      <c r="G9" s="135"/>
      <c r="H9" s="135"/>
      <c r="I9" s="135"/>
      <c r="J9" s="135"/>
      <c r="K9" s="135"/>
      <c r="L9" s="135"/>
      <c r="M9" s="135"/>
      <c r="N9" s="135"/>
    </row>
    <row r="10" spans="2:14" x14ac:dyDescent="0.2"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</row>
    <row r="11" spans="2:14" ht="13.5" thickBot="1" x14ac:dyDescent="0.25">
      <c r="B11" s="457" t="s">
        <v>673</v>
      </c>
      <c r="C11" s="471"/>
      <c r="D11" s="471"/>
      <c r="E11" s="471"/>
      <c r="F11" s="471"/>
      <c r="G11" s="471"/>
    </row>
    <row r="12" spans="2:14" x14ac:dyDescent="0.2">
      <c r="B12" s="468" t="s">
        <v>169</v>
      </c>
      <c r="C12" s="468">
        <v>2019</v>
      </c>
      <c r="D12" s="468">
        <v>2020</v>
      </c>
      <c r="E12" s="469">
        <v>2021</v>
      </c>
      <c r="F12" s="135"/>
      <c r="G12" s="637"/>
    </row>
    <row r="13" spans="2:14" x14ac:dyDescent="0.2">
      <c r="B13" s="462" t="s">
        <v>79</v>
      </c>
      <c r="C13" s="462">
        <v>0.64</v>
      </c>
      <c r="D13" s="462">
        <v>0.88</v>
      </c>
      <c r="E13" s="463">
        <v>1.07</v>
      </c>
      <c r="F13" s="135"/>
      <c r="G13" s="637"/>
    </row>
    <row r="14" spans="2:14" x14ac:dyDescent="0.2">
      <c r="B14" s="462" t="s">
        <v>80</v>
      </c>
      <c r="C14" s="462">
        <v>0.15</v>
      </c>
      <c r="D14" s="462">
        <v>0.44</v>
      </c>
      <c r="E14" s="463">
        <v>0.75</v>
      </c>
      <c r="F14" s="135"/>
      <c r="G14" s="637"/>
    </row>
    <row r="15" spans="2:14" ht="13.5" thickBot="1" x14ac:dyDescent="0.25">
      <c r="B15" s="467" t="s">
        <v>81</v>
      </c>
      <c r="C15" s="467">
        <v>-0.49</v>
      </c>
      <c r="D15" s="467">
        <v>-0.44</v>
      </c>
      <c r="E15" s="460">
        <v>-0.32</v>
      </c>
      <c r="F15" s="135"/>
      <c r="G15" s="637"/>
    </row>
    <row r="16" spans="2:14" ht="13.5" thickBot="1" x14ac:dyDescent="0.25">
      <c r="B16" s="470" t="s">
        <v>674</v>
      </c>
      <c r="C16" s="470">
        <v>-475</v>
      </c>
      <c r="D16" s="470">
        <v>-439</v>
      </c>
      <c r="E16" s="465">
        <v>-337</v>
      </c>
      <c r="F16" s="136"/>
    </row>
    <row r="17" spans="2:6" x14ac:dyDescent="0.2">
      <c r="B17" s="638"/>
      <c r="C17" s="638"/>
      <c r="D17" s="135"/>
      <c r="E17" s="639"/>
      <c r="F17" s="640"/>
    </row>
    <row r="18" spans="2:6" ht="13.5" thickBot="1" x14ac:dyDescent="0.25">
      <c r="B18" s="523" t="s">
        <v>675</v>
      </c>
      <c r="C18" s="467"/>
      <c r="D18" s="467"/>
      <c r="E18" s="467"/>
      <c r="F18" s="467"/>
    </row>
    <row r="19" spans="2:6" ht="13.5" thickBot="1" x14ac:dyDescent="0.25">
      <c r="B19" s="470"/>
      <c r="C19" s="473" t="s">
        <v>676</v>
      </c>
      <c r="D19" s="473" t="s">
        <v>677</v>
      </c>
      <c r="E19" s="473" t="s">
        <v>678</v>
      </c>
      <c r="F19" s="473" t="s">
        <v>679</v>
      </c>
    </row>
    <row r="20" spans="2:6" x14ac:dyDescent="0.2">
      <c r="B20" s="468" t="s">
        <v>169</v>
      </c>
      <c r="C20" s="469">
        <v>178</v>
      </c>
      <c r="D20" s="469">
        <v>-475</v>
      </c>
      <c r="E20" s="469">
        <v>-439</v>
      </c>
      <c r="F20" s="469">
        <v>-337</v>
      </c>
    </row>
    <row r="21" spans="2:6" x14ac:dyDescent="0.2">
      <c r="B21" s="472" t="s">
        <v>35</v>
      </c>
      <c r="C21" s="509">
        <v>905</v>
      </c>
      <c r="D21" s="509" t="s">
        <v>827</v>
      </c>
      <c r="E21" s="509">
        <v>381</v>
      </c>
      <c r="F21" s="509">
        <v>399</v>
      </c>
    </row>
    <row r="22" spans="2:6" x14ac:dyDescent="0.2">
      <c r="B22" s="462" t="s">
        <v>680</v>
      </c>
      <c r="C22" s="463">
        <v>492</v>
      </c>
      <c r="D22" s="463">
        <v>469</v>
      </c>
      <c r="E22" s="463">
        <v>535</v>
      </c>
      <c r="F22" s="463">
        <v>544</v>
      </c>
    </row>
    <row r="23" spans="2:6" x14ac:dyDescent="0.2">
      <c r="B23" s="462" t="s">
        <v>681</v>
      </c>
      <c r="C23" s="463">
        <v>283</v>
      </c>
      <c r="D23" s="463">
        <v>109</v>
      </c>
      <c r="E23" s="463">
        <v>117</v>
      </c>
      <c r="F23" s="463">
        <v>122</v>
      </c>
    </row>
    <row r="24" spans="2:6" x14ac:dyDescent="0.2">
      <c r="B24" s="462" t="s">
        <v>682</v>
      </c>
      <c r="C24" s="463">
        <v>-234</v>
      </c>
      <c r="D24" s="463">
        <v>-247</v>
      </c>
      <c r="E24" s="463">
        <v>-181</v>
      </c>
      <c r="F24" s="463">
        <v>-153</v>
      </c>
    </row>
    <row r="25" spans="2:6" x14ac:dyDescent="0.2">
      <c r="B25" s="462" t="s">
        <v>683</v>
      </c>
      <c r="C25" s="463">
        <v>364</v>
      </c>
      <c r="D25" s="463">
        <v>-12</v>
      </c>
      <c r="E25" s="463">
        <v>-90</v>
      </c>
      <c r="F25" s="463">
        <v>-114</v>
      </c>
    </row>
    <row r="26" spans="2:6" x14ac:dyDescent="0.2">
      <c r="B26" s="472" t="s">
        <v>47</v>
      </c>
      <c r="C26" s="509">
        <v>728</v>
      </c>
      <c r="D26" s="509">
        <v>795</v>
      </c>
      <c r="E26" s="509">
        <v>819</v>
      </c>
      <c r="F26" s="509">
        <v>736</v>
      </c>
    </row>
    <row r="27" spans="2:6" x14ac:dyDescent="0.2">
      <c r="B27" s="462" t="s">
        <v>684</v>
      </c>
      <c r="C27" s="463">
        <v>-93</v>
      </c>
      <c r="D27" s="463">
        <v>649</v>
      </c>
      <c r="E27" s="463">
        <v>623</v>
      </c>
      <c r="F27" s="463">
        <v>307</v>
      </c>
    </row>
    <row r="28" spans="2:6" ht="13.5" thickBot="1" x14ac:dyDescent="0.25">
      <c r="B28" s="459" t="s">
        <v>685</v>
      </c>
      <c r="C28" s="465">
        <v>821</v>
      </c>
      <c r="D28" s="465">
        <v>146</v>
      </c>
      <c r="E28" s="465">
        <v>197</v>
      </c>
      <c r="F28" s="465">
        <v>429</v>
      </c>
    </row>
    <row r="29" spans="2:6" x14ac:dyDescent="0.2">
      <c r="B29" s="354"/>
    </row>
    <row r="30" spans="2:6" x14ac:dyDescent="0.2">
      <c r="B30" s="354"/>
    </row>
    <row r="31" spans="2:6" ht="12.75" customHeight="1" x14ac:dyDescent="0.2">
      <c r="B31" s="871" t="s">
        <v>1039</v>
      </c>
      <c r="C31" s="871"/>
      <c r="D31" s="871"/>
      <c r="E31" s="871"/>
    </row>
    <row r="32" spans="2:6" ht="13.5" thickBot="1" x14ac:dyDescent="0.25">
      <c r="B32" s="58"/>
      <c r="C32" s="412" t="s">
        <v>667</v>
      </c>
      <c r="D32" s="623" t="s">
        <v>1</v>
      </c>
      <c r="E32" s="623" t="s">
        <v>1040</v>
      </c>
    </row>
    <row r="33" spans="2:8" x14ac:dyDescent="0.2">
      <c r="B33" s="689" t="s">
        <v>1041</v>
      </c>
      <c r="C33" s="153" t="s">
        <v>320</v>
      </c>
      <c r="D33" s="25">
        <v>63</v>
      </c>
      <c r="E33" s="25" t="s">
        <v>1042</v>
      </c>
    </row>
    <row r="34" spans="2:8" x14ac:dyDescent="0.2">
      <c r="B34" s="689" t="s">
        <v>1043</v>
      </c>
      <c r="C34" s="153" t="s">
        <v>670</v>
      </c>
      <c r="D34" s="25">
        <v>73</v>
      </c>
      <c r="E34" s="25" t="s">
        <v>1044</v>
      </c>
    </row>
    <row r="35" spans="2:8" ht="13.5" thickBot="1" x14ac:dyDescent="0.25">
      <c r="B35" s="718" t="s">
        <v>1045</v>
      </c>
      <c r="C35" s="158" t="s">
        <v>320</v>
      </c>
      <c r="D35" s="417">
        <v>298</v>
      </c>
      <c r="E35" s="417" t="s">
        <v>1046</v>
      </c>
    </row>
    <row r="36" spans="2:8" ht="13.5" thickBot="1" x14ac:dyDescent="0.25">
      <c r="B36" s="552" t="s">
        <v>940</v>
      </c>
      <c r="C36" s="412"/>
      <c r="D36" s="623">
        <v>434</v>
      </c>
      <c r="E36" s="623" t="s">
        <v>1047</v>
      </c>
    </row>
    <row r="37" spans="2:8" ht="13.5" thickBot="1" x14ac:dyDescent="0.25">
      <c r="B37" s="58" t="s">
        <v>1048</v>
      </c>
      <c r="C37" s="412"/>
      <c r="D37" s="417">
        <v>479</v>
      </c>
      <c r="E37" s="417" t="s">
        <v>1049</v>
      </c>
    </row>
    <row r="38" spans="2:8" ht="25.5" x14ac:dyDescent="0.2">
      <c r="B38" s="872"/>
      <c r="C38" s="872"/>
      <c r="D38" s="872"/>
      <c r="E38" s="720" t="s">
        <v>1038</v>
      </c>
    </row>
    <row r="40" spans="2:8" ht="13.5" thickBot="1" x14ac:dyDescent="0.25">
      <c r="B40" s="873" t="s">
        <v>1050</v>
      </c>
      <c r="C40" s="873"/>
      <c r="D40" s="873"/>
      <c r="E40" s="873"/>
      <c r="F40" s="873"/>
      <c r="G40" s="873"/>
      <c r="H40" s="873"/>
    </row>
    <row r="41" spans="2:8" ht="13.5" thickBot="1" x14ac:dyDescent="0.25">
      <c r="B41" s="4" t="s">
        <v>1065</v>
      </c>
      <c r="C41" s="721"/>
      <c r="D41" s="819">
        <v>2019</v>
      </c>
      <c r="E41" s="819"/>
      <c r="F41" s="819">
        <v>2020</v>
      </c>
      <c r="G41" s="819"/>
      <c r="H41" s="688">
        <v>2021</v>
      </c>
    </row>
    <row r="42" spans="2:8" ht="15" x14ac:dyDescent="0.25">
      <c r="B42" s="689" t="s">
        <v>1051</v>
      </c>
      <c r="C42" s="694"/>
      <c r="D42" s="874" t="s">
        <v>1052</v>
      </c>
      <c r="E42" s="874"/>
      <c r="F42" s="874" t="s">
        <v>1053</v>
      </c>
      <c r="G42" s="874"/>
      <c r="H42" s="153" t="s">
        <v>1054</v>
      </c>
    </row>
    <row r="43" spans="2:8" x14ac:dyDescent="0.2">
      <c r="B43" s="689" t="s">
        <v>1055</v>
      </c>
      <c r="C43" s="689"/>
      <c r="D43" s="875" t="s">
        <v>1056</v>
      </c>
      <c r="E43" s="875"/>
      <c r="F43" s="875" t="s">
        <v>1057</v>
      </c>
      <c r="G43" s="875"/>
      <c r="H43" s="153" t="s">
        <v>1058</v>
      </c>
    </row>
    <row r="44" spans="2:8" ht="13.5" thickBot="1" x14ac:dyDescent="0.25">
      <c r="B44" s="552" t="s">
        <v>1059</v>
      </c>
      <c r="C44" s="552"/>
      <c r="D44" s="870" t="s">
        <v>1060</v>
      </c>
      <c r="E44" s="870"/>
      <c r="F44" s="870" t="s">
        <v>1061</v>
      </c>
      <c r="G44" s="870"/>
      <c r="H44" s="412" t="s">
        <v>1062</v>
      </c>
    </row>
    <row r="45" spans="2:8" ht="14.25" thickBot="1" x14ac:dyDescent="0.25">
      <c r="B45" s="722" t="s">
        <v>1063</v>
      </c>
      <c r="C45" s="722"/>
      <c r="D45" s="867">
        <v>-475</v>
      </c>
      <c r="E45" s="867"/>
      <c r="F45" s="867">
        <v>-439</v>
      </c>
      <c r="G45" s="867"/>
      <c r="H45" s="158">
        <v>-337</v>
      </c>
    </row>
    <row r="46" spans="2:8" ht="15" x14ac:dyDescent="0.25">
      <c r="B46" s="694"/>
      <c r="C46" s="694"/>
      <c r="D46" s="719"/>
      <c r="E46" s="868"/>
      <c r="F46" s="868"/>
      <c r="G46" s="869" t="s">
        <v>1064</v>
      </c>
      <c r="H46" s="869"/>
    </row>
    <row r="48" spans="2:8" ht="13.5" thickBot="1" x14ac:dyDescent="0.25">
      <c r="B48" s="855" t="s">
        <v>1066</v>
      </c>
      <c r="C48" s="855"/>
      <c r="D48" s="855"/>
      <c r="E48" s="855"/>
      <c r="F48" s="855"/>
    </row>
    <row r="49" spans="2:6" ht="13.5" thickBot="1" x14ac:dyDescent="0.25">
      <c r="B49" s="58"/>
      <c r="C49" s="412" t="s">
        <v>1067</v>
      </c>
      <c r="D49" s="412" t="s">
        <v>677</v>
      </c>
      <c r="E49" s="412" t="s">
        <v>678</v>
      </c>
      <c r="F49" s="412" t="s">
        <v>679</v>
      </c>
    </row>
    <row r="50" spans="2:6" x14ac:dyDescent="0.2">
      <c r="B50" s="347" t="s">
        <v>1068</v>
      </c>
      <c r="C50" s="364">
        <v>178</v>
      </c>
      <c r="D50" s="364">
        <v>-475</v>
      </c>
      <c r="E50" s="364">
        <v>-439</v>
      </c>
      <c r="F50" s="364">
        <v>-337</v>
      </c>
    </row>
    <row r="51" spans="2:6" x14ac:dyDescent="0.2">
      <c r="B51" s="347" t="s">
        <v>954</v>
      </c>
      <c r="C51" s="364">
        <v>905</v>
      </c>
      <c r="D51" s="364">
        <v>320</v>
      </c>
      <c r="E51" s="364">
        <v>381</v>
      </c>
      <c r="F51" s="364">
        <v>399</v>
      </c>
    </row>
    <row r="52" spans="2:6" ht="13.5" x14ac:dyDescent="0.2">
      <c r="B52" s="723" t="s">
        <v>1069</v>
      </c>
      <c r="C52" s="708">
        <v>492</v>
      </c>
      <c r="D52" s="708">
        <v>469</v>
      </c>
      <c r="E52" s="708">
        <v>535</v>
      </c>
      <c r="F52" s="708">
        <v>544</v>
      </c>
    </row>
    <row r="53" spans="2:6" ht="13.5" x14ac:dyDescent="0.2">
      <c r="B53" s="723" t="s">
        <v>1070</v>
      </c>
      <c r="C53" s="708">
        <v>283</v>
      </c>
      <c r="D53" s="708">
        <v>109</v>
      </c>
      <c r="E53" s="708">
        <v>117</v>
      </c>
      <c r="F53" s="708">
        <v>122</v>
      </c>
    </row>
    <row r="54" spans="2:6" ht="13.5" x14ac:dyDescent="0.2">
      <c r="B54" s="723" t="s">
        <v>1071</v>
      </c>
      <c r="C54" s="708">
        <v>-234</v>
      </c>
      <c r="D54" s="708">
        <v>-247</v>
      </c>
      <c r="E54" s="708">
        <v>-181</v>
      </c>
      <c r="F54" s="708">
        <v>-153</v>
      </c>
    </row>
    <row r="55" spans="2:6" ht="13.5" x14ac:dyDescent="0.2">
      <c r="B55" s="723" t="s">
        <v>1072</v>
      </c>
      <c r="C55" s="708">
        <v>364</v>
      </c>
      <c r="D55" s="708">
        <v>-12</v>
      </c>
      <c r="E55" s="708">
        <v>-90</v>
      </c>
      <c r="F55" s="708">
        <v>-114</v>
      </c>
    </row>
    <row r="56" spans="2:6" x14ac:dyDescent="0.2">
      <c r="B56" s="347" t="s">
        <v>994</v>
      </c>
      <c r="C56" s="364">
        <v>728</v>
      </c>
      <c r="D56" s="364">
        <v>795</v>
      </c>
      <c r="E56" s="364">
        <v>819</v>
      </c>
      <c r="F56" s="364">
        <v>736</v>
      </c>
    </row>
    <row r="57" spans="2:6" ht="13.5" x14ac:dyDescent="0.2">
      <c r="B57" s="723" t="s">
        <v>1073</v>
      </c>
      <c r="C57" s="708">
        <v>-93</v>
      </c>
      <c r="D57" s="708">
        <v>649</v>
      </c>
      <c r="E57" s="708">
        <v>623</v>
      </c>
      <c r="F57" s="708">
        <v>307</v>
      </c>
    </row>
    <row r="58" spans="2:6" ht="14.25" thickBot="1" x14ac:dyDescent="0.25">
      <c r="B58" s="724" t="s">
        <v>1074</v>
      </c>
      <c r="C58" s="725">
        <v>821</v>
      </c>
      <c r="D58" s="725">
        <v>146</v>
      </c>
      <c r="E58" s="725">
        <v>197</v>
      </c>
      <c r="F58" s="725">
        <v>429</v>
      </c>
    </row>
    <row r="59" spans="2:6" ht="15" x14ac:dyDescent="0.25">
      <c r="B59" s="726" t="s">
        <v>1075</v>
      </c>
      <c r="C59"/>
      <c r="D59"/>
      <c r="E59"/>
      <c r="F59"/>
    </row>
  </sheetData>
  <mergeCells count="17">
    <mergeCell ref="D44:E44"/>
    <mergeCell ref="F44:G44"/>
    <mergeCell ref="B3:E3"/>
    <mergeCell ref="B38:D38"/>
    <mergeCell ref="B31:E31"/>
    <mergeCell ref="D41:E41"/>
    <mergeCell ref="F41:G41"/>
    <mergeCell ref="B40:H40"/>
    <mergeCell ref="D42:E42"/>
    <mergeCell ref="F42:G42"/>
    <mergeCell ref="D43:E43"/>
    <mergeCell ref="F43:G43"/>
    <mergeCell ref="B48:F48"/>
    <mergeCell ref="D45:E45"/>
    <mergeCell ref="F45:G45"/>
    <mergeCell ref="E46:F46"/>
    <mergeCell ref="G46:H4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3:I83"/>
  <sheetViews>
    <sheetView showGridLines="0" workbookViewId="0">
      <selection activeCell="B24" sqref="B24"/>
    </sheetView>
  </sheetViews>
  <sheetFormatPr defaultColWidth="9.140625" defaultRowHeight="12.75" x14ac:dyDescent="0.2"/>
  <cols>
    <col min="1" max="1" width="9.140625" style="6"/>
    <col min="2" max="2" width="59.42578125" style="6" customWidth="1"/>
    <col min="3" max="3" width="12.7109375" style="6" customWidth="1"/>
    <col min="4" max="4" width="10.7109375" style="6" customWidth="1"/>
    <col min="5" max="5" width="9.7109375" style="6" bestFit="1" customWidth="1"/>
    <col min="6" max="6" width="5.7109375" style="6" customWidth="1"/>
    <col min="7" max="7" width="12.5703125" style="6" customWidth="1"/>
    <col min="8" max="8" width="9.140625" style="6"/>
    <col min="9" max="9" width="9.140625" style="136"/>
    <col min="10" max="16384" width="9.140625" style="6"/>
  </cols>
  <sheetData>
    <row r="3" spans="1:8" x14ac:dyDescent="0.2">
      <c r="A3" s="55"/>
      <c r="C3" s="55"/>
      <c r="D3" s="55"/>
      <c r="E3" s="55"/>
      <c r="F3" s="55"/>
      <c r="G3" s="55"/>
    </row>
    <row r="4" spans="1:8" ht="16.5" customHeight="1" thickBot="1" x14ac:dyDescent="0.25">
      <c r="A4" s="55"/>
      <c r="B4" s="876" t="s">
        <v>811</v>
      </c>
      <c r="C4" s="876"/>
      <c r="D4" s="876"/>
      <c r="E4" s="876"/>
      <c r="F4" s="876"/>
      <c r="G4" s="876"/>
    </row>
    <row r="5" spans="1:8" ht="16.5" customHeight="1" thickBot="1" x14ac:dyDescent="0.25">
      <c r="A5" s="55"/>
      <c r="B5" s="336" t="s">
        <v>617</v>
      </c>
      <c r="C5" s="337" t="s">
        <v>61</v>
      </c>
      <c r="D5" s="337" t="s">
        <v>62</v>
      </c>
      <c r="E5" s="337">
        <v>2019</v>
      </c>
      <c r="F5" s="338">
        <v>2020</v>
      </c>
      <c r="G5" s="337">
        <v>2021</v>
      </c>
    </row>
    <row r="6" spans="1:8" ht="16.5" customHeight="1" thickBot="1" x14ac:dyDescent="0.25">
      <c r="A6" s="55"/>
      <c r="B6" s="449" t="s">
        <v>164</v>
      </c>
      <c r="C6" s="450" t="s">
        <v>165</v>
      </c>
      <c r="D6" s="437"/>
      <c r="E6" s="451">
        <v>0.29502915535837743</v>
      </c>
      <c r="F6" s="451">
        <v>0.34067476854714718</v>
      </c>
      <c r="G6" s="451">
        <v>0.3264101465243473</v>
      </c>
      <c r="H6" s="55"/>
    </row>
    <row r="7" spans="1:8" ht="16.5" customHeight="1" thickBot="1" x14ac:dyDescent="0.25">
      <c r="A7" s="55"/>
      <c r="B7" s="449" t="s">
        <v>166</v>
      </c>
      <c r="C7" s="450" t="s">
        <v>165</v>
      </c>
      <c r="D7" s="450" t="s">
        <v>38</v>
      </c>
      <c r="E7" s="451">
        <v>0.19519994686628298</v>
      </c>
      <c r="F7" s="451">
        <v>0.27549578106998457</v>
      </c>
      <c r="G7" s="451">
        <v>0.27143039335831076</v>
      </c>
      <c r="H7" s="55"/>
    </row>
    <row r="8" spans="1:8" ht="16.5" customHeight="1" x14ac:dyDescent="0.2">
      <c r="A8" s="55"/>
      <c r="B8" s="425" t="s">
        <v>602</v>
      </c>
      <c r="C8" s="339"/>
      <c r="D8" s="339"/>
      <c r="E8" s="426">
        <v>0</v>
      </c>
      <c r="F8" s="426">
        <v>0</v>
      </c>
      <c r="G8" s="426">
        <v>0</v>
      </c>
      <c r="H8" s="55"/>
    </row>
    <row r="9" spans="1:8" ht="16.5" customHeight="1" x14ac:dyDescent="0.2">
      <c r="A9" s="55"/>
      <c r="B9" s="427" t="s">
        <v>603</v>
      </c>
      <c r="C9" s="339"/>
      <c r="D9" s="339"/>
      <c r="E9" s="345">
        <v>1.2084283718599426E-2</v>
      </c>
      <c r="F9" s="345">
        <v>1.4064474520767908E-2</v>
      </c>
      <c r="G9" s="345">
        <v>1.3281373445407349E-2</v>
      </c>
      <c r="H9" s="55"/>
    </row>
    <row r="10" spans="1:8" ht="16.5" customHeight="1" x14ac:dyDescent="0.2">
      <c r="A10" s="55"/>
      <c r="B10" s="427" t="s">
        <v>604</v>
      </c>
      <c r="C10" s="339"/>
      <c r="D10" s="339"/>
      <c r="E10" s="345">
        <v>5.5407836382970845E-2</v>
      </c>
      <c r="F10" s="345">
        <v>5.4161330452646594E-2</v>
      </c>
      <c r="G10" s="345">
        <v>5.3253816230377296E-2</v>
      </c>
      <c r="H10" s="55"/>
    </row>
    <row r="11" spans="1:8" ht="16.5" customHeight="1" x14ac:dyDescent="0.2">
      <c r="A11" s="55"/>
      <c r="B11" s="427" t="s">
        <v>606</v>
      </c>
      <c r="C11" s="339"/>
      <c r="D11" s="339"/>
      <c r="E11" s="345">
        <v>9.303554616543612E-2</v>
      </c>
      <c r="F11" s="345">
        <v>0.17471396920208579</v>
      </c>
      <c r="G11" s="345">
        <v>0.17415189472928891</v>
      </c>
      <c r="H11" s="55"/>
    </row>
    <row r="12" spans="1:8" ht="16.5" customHeight="1" thickBot="1" x14ac:dyDescent="0.25">
      <c r="A12" s="55"/>
      <c r="B12" s="429" t="s">
        <v>605</v>
      </c>
      <c r="C12" s="419"/>
      <c r="D12" s="419"/>
      <c r="E12" s="435">
        <v>3.8445388860430391E-2</v>
      </c>
      <c r="F12" s="435">
        <v>3.6098817936637627E-2</v>
      </c>
      <c r="G12" s="435">
        <v>3.4088858509878868E-2</v>
      </c>
      <c r="H12" s="55"/>
    </row>
    <row r="13" spans="1:8" ht="16.5" customHeight="1" thickBot="1" x14ac:dyDescent="0.25">
      <c r="A13" s="55"/>
      <c r="B13" s="418" t="s">
        <v>167</v>
      </c>
      <c r="C13" s="419" t="s">
        <v>165</v>
      </c>
      <c r="D13" s="419" t="s">
        <v>40</v>
      </c>
      <c r="E13" s="420">
        <v>9.9829208492094423E-2</v>
      </c>
      <c r="F13" s="420">
        <v>6.5178987477162581E-2</v>
      </c>
      <c r="G13" s="420">
        <v>5.4979753166036503E-2</v>
      </c>
      <c r="H13" s="55"/>
    </row>
    <row r="14" spans="1:8" ht="16.5" customHeight="1" x14ac:dyDescent="0.2">
      <c r="A14" s="55"/>
      <c r="B14" s="428" t="s">
        <v>607</v>
      </c>
      <c r="C14" s="195"/>
      <c r="D14" s="195"/>
      <c r="E14" s="421">
        <v>-1.7188538150536906E-2</v>
      </c>
      <c r="F14" s="421">
        <v>-2.2587782040130931E-2</v>
      </c>
      <c r="G14" s="421">
        <v>-2.6413736764682366E-2</v>
      </c>
      <c r="H14" s="55"/>
    </row>
    <row r="15" spans="1:8" ht="16.5" customHeight="1" x14ac:dyDescent="0.2">
      <c r="A15" s="55"/>
      <c r="B15" s="427" t="s">
        <v>608</v>
      </c>
      <c r="C15" s="195"/>
      <c r="D15" s="195"/>
      <c r="E15" s="421">
        <v>-5.4789243036516859E-3</v>
      </c>
      <c r="F15" s="421">
        <v>-2.725301764504167E-2</v>
      </c>
      <c r="G15" s="421">
        <v>-2.722269091294674E-2</v>
      </c>
      <c r="H15" s="55"/>
    </row>
    <row r="16" spans="1:8" ht="16.5" customHeight="1" thickBot="1" x14ac:dyDescent="0.25">
      <c r="A16" s="55"/>
      <c r="B16" s="429" t="s">
        <v>609</v>
      </c>
      <c r="C16" s="419"/>
      <c r="D16" s="419"/>
      <c r="E16" s="420">
        <v>0.12249680245115757</v>
      </c>
      <c r="F16" s="420">
        <v>0.11502002972470649</v>
      </c>
      <c r="G16" s="420">
        <v>0.10861578697589862</v>
      </c>
      <c r="H16" s="55"/>
    </row>
    <row r="17" spans="1:8" ht="16.5" customHeight="1" x14ac:dyDescent="0.2">
      <c r="A17" s="55"/>
      <c r="B17" s="216" t="s">
        <v>168</v>
      </c>
      <c r="C17" s="195" t="s">
        <v>165</v>
      </c>
      <c r="D17" s="195" t="s">
        <v>44</v>
      </c>
      <c r="E17" s="421">
        <v>6.7145821124176705E-2</v>
      </c>
      <c r="F17" s="421">
        <v>4.6517594300055344E-2</v>
      </c>
      <c r="G17" s="421">
        <v>3.5208013580744449E-2</v>
      </c>
      <c r="H17" s="55"/>
    </row>
    <row r="18" spans="1:8" ht="16.5" customHeight="1" x14ac:dyDescent="0.2">
      <c r="A18" s="55"/>
      <c r="B18" s="425" t="s">
        <v>610</v>
      </c>
      <c r="C18" s="195"/>
      <c r="D18" s="195"/>
      <c r="E18" s="421">
        <v>0</v>
      </c>
      <c r="F18" s="421">
        <v>0</v>
      </c>
      <c r="G18" s="421">
        <v>4.5860610004659172E-2</v>
      </c>
      <c r="H18" s="55"/>
    </row>
    <row r="19" spans="1:8" ht="16.5" customHeight="1" x14ac:dyDescent="0.2">
      <c r="A19" s="55"/>
      <c r="B19" s="425" t="s">
        <v>607</v>
      </c>
      <c r="C19" s="195"/>
      <c r="D19" s="195"/>
      <c r="E19" s="421">
        <v>-2.2422972953230452E-2</v>
      </c>
      <c r="F19" s="421">
        <v>-2.9460665118284907E-2</v>
      </c>
      <c r="G19" s="421">
        <v>-7.587686995031169E-2</v>
      </c>
      <c r="H19" s="55"/>
    </row>
    <row r="20" spans="1:8" ht="16.5" customHeight="1" x14ac:dyDescent="0.2">
      <c r="A20" s="55"/>
      <c r="B20" s="425" t="s">
        <v>611</v>
      </c>
      <c r="C20" s="195"/>
      <c r="D20" s="195"/>
      <c r="E20" s="421">
        <v>8.9568013985885056E-2</v>
      </c>
      <c r="F20" s="421">
        <v>7.59779675363422E-2</v>
      </c>
      <c r="G20" s="421">
        <v>6.5224442564238691E-2</v>
      </c>
      <c r="H20" s="55"/>
    </row>
    <row r="21" spans="1:8" ht="16.5" customHeight="1" thickBot="1" x14ac:dyDescent="0.25">
      <c r="A21" s="55"/>
      <c r="B21" s="340" t="s">
        <v>304</v>
      </c>
      <c r="C21" s="452" t="s">
        <v>63</v>
      </c>
      <c r="D21" s="452" t="s">
        <v>305</v>
      </c>
      <c r="E21" s="342">
        <v>9.4772652129565857E-2</v>
      </c>
      <c r="F21" s="342">
        <v>9.9760008732670893E-2</v>
      </c>
      <c r="G21" s="342">
        <v>0.1082675665256726</v>
      </c>
      <c r="H21" s="55"/>
    </row>
    <row r="22" spans="1:8" ht="16.5" customHeight="1" thickBot="1" x14ac:dyDescent="0.25">
      <c r="A22" s="55"/>
      <c r="B22" s="430" t="s">
        <v>612</v>
      </c>
      <c r="C22" s="446"/>
      <c r="D22" s="446"/>
      <c r="E22" s="423">
        <v>1.0009487666281128E-2</v>
      </c>
      <c r="F22" s="342">
        <v>2.0582955648381508E-2</v>
      </c>
      <c r="G22" s="342">
        <v>2.5225993610429459E-2</v>
      </c>
      <c r="H22" s="55"/>
    </row>
    <row r="23" spans="1:8" ht="16.5" customHeight="1" x14ac:dyDescent="0.2">
      <c r="A23" s="55"/>
      <c r="B23" s="216" t="s">
        <v>302</v>
      </c>
      <c r="C23" s="453" t="s">
        <v>63</v>
      </c>
      <c r="D23" s="453"/>
      <c r="E23" s="421">
        <v>0.20190483570851916</v>
      </c>
      <c r="F23" s="421">
        <v>0.12948253078364655</v>
      </c>
      <c r="G23" s="421">
        <v>0.12049788111244851</v>
      </c>
      <c r="H23" s="55"/>
    </row>
    <row r="24" spans="1:8" ht="16.5" customHeight="1" x14ac:dyDescent="0.2">
      <c r="A24" s="55"/>
      <c r="B24" s="425" t="s">
        <v>613</v>
      </c>
      <c r="C24" s="424"/>
      <c r="D24" s="424"/>
      <c r="E24" s="421">
        <v>5.2637444563822314E-2</v>
      </c>
      <c r="F24" s="421">
        <v>5.2702468809809187E-2</v>
      </c>
      <c r="G24" s="421">
        <v>4.9768028569032632E-2</v>
      </c>
      <c r="H24" s="55"/>
    </row>
    <row r="25" spans="1:8" ht="16.5" customHeight="1" thickBot="1" x14ac:dyDescent="0.25">
      <c r="A25" s="55"/>
      <c r="B25" s="429" t="s">
        <v>620</v>
      </c>
      <c r="C25" s="337"/>
      <c r="D25" s="337"/>
      <c r="E25" s="420">
        <v>7.7668583831195806E-2</v>
      </c>
      <c r="F25" s="420">
        <v>7.9416467303830479E-2</v>
      </c>
      <c r="G25" s="420">
        <v>7.9076173317381288E-2</v>
      </c>
      <c r="H25" s="55"/>
    </row>
    <row r="26" spans="1:8" ht="18.75" customHeight="1" thickBot="1" x14ac:dyDescent="0.25">
      <c r="A26" s="55"/>
      <c r="B26" s="343" t="s">
        <v>388</v>
      </c>
      <c r="C26" s="341"/>
      <c r="D26" s="341"/>
      <c r="E26" s="344">
        <v>0.65885246432063915</v>
      </c>
      <c r="F26" s="344">
        <v>0.61643490236352005</v>
      </c>
      <c r="G26" s="344">
        <v>0.59038360774321286</v>
      </c>
      <c r="H26" s="55"/>
    </row>
    <row r="27" spans="1:8" ht="16.5" customHeight="1" thickBot="1" x14ac:dyDescent="0.25">
      <c r="A27" s="55"/>
      <c r="B27" s="445"/>
      <c r="C27" s="446"/>
      <c r="D27" s="447"/>
      <c r="E27" s="422"/>
      <c r="F27" s="448"/>
      <c r="G27" s="422"/>
      <c r="H27" s="55"/>
    </row>
    <row r="28" spans="1:8" ht="16.5" customHeight="1" thickBot="1" x14ac:dyDescent="0.25">
      <c r="A28" s="55"/>
      <c r="B28" s="336" t="s">
        <v>618</v>
      </c>
      <c r="C28" s="337" t="s">
        <v>61</v>
      </c>
      <c r="D28" s="337" t="s">
        <v>62</v>
      </c>
      <c r="E28" s="337">
        <v>2019</v>
      </c>
      <c r="F28" s="336">
        <v>2020</v>
      </c>
      <c r="G28" s="337">
        <v>2021</v>
      </c>
      <c r="H28" s="55"/>
    </row>
    <row r="29" spans="1:8" ht="16.5" customHeight="1" thickBot="1" x14ac:dyDescent="0.25">
      <c r="A29" s="55"/>
      <c r="B29" s="454" t="s">
        <v>295</v>
      </c>
      <c r="C29" s="438" t="s">
        <v>63</v>
      </c>
      <c r="D29" s="438" t="s">
        <v>296</v>
      </c>
      <c r="E29" s="440">
        <v>-0.41659967110243079</v>
      </c>
      <c r="F29" s="440">
        <v>-0.68455146981447879</v>
      </c>
      <c r="G29" s="440">
        <v>-0.50369752031076098</v>
      </c>
      <c r="H29" s="55"/>
    </row>
    <row r="30" spans="1:8" ht="16.5" customHeight="1" thickBot="1" x14ac:dyDescent="0.25">
      <c r="A30" s="55"/>
      <c r="B30" s="429" t="s">
        <v>614</v>
      </c>
      <c r="C30" s="360"/>
      <c r="D30" s="360"/>
      <c r="E30" s="433">
        <v>-0.41659967110243079</v>
      </c>
      <c r="F30" s="433">
        <v>-0.68455146981447879</v>
      </c>
      <c r="G30" s="433">
        <v>-0.50369752031076098</v>
      </c>
      <c r="H30" s="55"/>
    </row>
    <row r="31" spans="1:8" ht="16.5" customHeight="1" thickBot="1" x14ac:dyDescent="0.25">
      <c r="A31" s="55"/>
      <c r="B31" s="434" t="s">
        <v>297</v>
      </c>
      <c r="C31" s="417" t="s">
        <v>63</v>
      </c>
      <c r="D31" s="417" t="s">
        <v>51</v>
      </c>
      <c r="E31" s="435">
        <v>-0.20359557792508179</v>
      </c>
      <c r="F31" s="435">
        <v>-0.37990911257131471</v>
      </c>
      <c r="G31" s="435">
        <v>-0.45856176217721506</v>
      </c>
      <c r="H31" s="55"/>
    </row>
    <row r="32" spans="1:8" ht="16.5" customHeight="1" x14ac:dyDescent="0.2">
      <c r="A32" s="55"/>
      <c r="B32" s="427" t="s">
        <v>619</v>
      </c>
      <c r="C32" s="45"/>
      <c r="D32" s="45"/>
      <c r="E32" s="345">
        <v>-0.41349131629082725</v>
      </c>
      <c r="F32" s="345">
        <v>-0.38825326489352396</v>
      </c>
      <c r="G32" s="345">
        <v>-0.36663556785113455</v>
      </c>
      <c r="H32" s="55"/>
    </row>
    <row r="33" spans="1:8" ht="16.5" customHeight="1" thickBot="1" x14ac:dyDescent="0.25">
      <c r="A33" s="55"/>
      <c r="B33" s="429" t="s">
        <v>616</v>
      </c>
      <c r="C33" s="360"/>
      <c r="D33" s="360"/>
      <c r="E33" s="435">
        <v>-0.1230136665965211</v>
      </c>
      <c r="F33" s="435">
        <v>-0.1155053463058234</v>
      </c>
      <c r="G33" s="435">
        <v>-0.10907408143571254</v>
      </c>
      <c r="H33" s="55"/>
    </row>
    <row r="34" spans="1:8" ht="16.5" customHeight="1" thickBot="1" x14ac:dyDescent="0.25">
      <c r="A34" s="55"/>
      <c r="B34" s="359" t="s">
        <v>52</v>
      </c>
      <c r="C34" s="417" t="s">
        <v>63</v>
      </c>
      <c r="D34" s="417" t="s">
        <v>298</v>
      </c>
      <c r="E34" s="435">
        <v>-2.5115720983577512E-2</v>
      </c>
      <c r="F34" s="435">
        <v>-1.9806309590077405E-2</v>
      </c>
      <c r="G34" s="435">
        <v>-1.5939889337614324E-2</v>
      </c>
      <c r="H34" s="55"/>
    </row>
    <row r="35" spans="1:8" ht="16.5" customHeight="1" thickBot="1" x14ac:dyDescent="0.25">
      <c r="A35" s="55"/>
      <c r="B35" s="359" t="s">
        <v>299</v>
      </c>
      <c r="C35" s="417" t="s">
        <v>63</v>
      </c>
      <c r="D35" s="417" t="s">
        <v>300</v>
      </c>
      <c r="E35" s="435">
        <v>-8.0891306205974955E-2</v>
      </c>
      <c r="F35" s="435">
        <v>-0.10962233870952458</v>
      </c>
      <c r="G35" s="435">
        <v>-0.15821058023912177</v>
      </c>
      <c r="H35" s="55"/>
    </row>
    <row r="36" spans="1:8" ht="16.5" customHeight="1" thickBot="1" x14ac:dyDescent="0.25">
      <c r="A36" s="55"/>
      <c r="B36" s="359" t="s">
        <v>379</v>
      </c>
      <c r="C36" s="417" t="s">
        <v>63</v>
      </c>
      <c r="D36" s="360" t="s">
        <v>318</v>
      </c>
      <c r="E36" s="435">
        <v>-0.1666506198354345</v>
      </c>
      <c r="F36" s="435">
        <v>-0.11431045259797093</v>
      </c>
      <c r="G36" s="435">
        <v>-7.4950807976493755E-2</v>
      </c>
      <c r="H36" s="55"/>
    </row>
    <row r="37" spans="1:8" ht="16.5" customHeight="1" thickBot="1" x14ac:dyDescent="0.25">
      <c r="A37" s="55"/>
      <c r="B37" s="454" t="s">
        <v>615</v>
      </c>
      <c r="C37" s="438" t="s">
        <v>63</v>
      </c>
      <c r="D37" s="439"/>
      <c r="E37" s="440">
        <v>-1.3342224574400631E-2</v>
      </c>
      <c r="F37" s="440">
        <v>0.24827866283794439</v>
      </c>
      <c r="G37" s="440">
        <v>6.8482705632212509E-2</v>
      </c>
      <c r="H37" s="55"/>
    </row>
    <row r="38" spans="1:8" ht="16.5" customHeight="1" x14ac:dyDescent="0.2">
      <c r="A38" s="55"/>
      <c r="B38" s="441" t="s">
        <v>572</v>
      </c>
      <c r="C38" s="416"/>
      <c r="D38" s="442" t="s">
        <v>319</v>
      </c>
      <c r="E38" s="443">
        <v>4.0033973912389741E-2</v>
      </c>
      <c r="F38" s="443">
        <v>0.28666208247015762</v>
      </c>
      <c r="G38" s="443">
        <v>5.6857813251435609E-2</v>
      </c>
      <c r="H38" s="55"/>
    </row>
    <row r="39" spans="1:8" ht="16.5" customHeight="1" thickBot="1" x14ac:dyDescent="0.25">
      <c r="A39" s="55"/>
      <c r="B39" s="359" t="s">
        <v>58</v>
      </c>
      <c r="C39" s="417"/>
      <c r="D39" s="360" t="s">
        <v>320</v>
      </c>
      <c r="E39" s="435">
        <v>-5.3376198486790316E-2</v>
      </c>
      <c r="F39" s="435">
        <v>-3.8383419632213339E-2</v>
      </c>
      <c r="G39" s="435">
        <v>1.1624892380777048E-2</v>
      </c>
      <c r="H39" s="55"/>
    </row>
    <row r="40" spans="1:8" ht="13.5" thickBot="1" x14ac:dyDescent="0.25">
      <c r="B40" s="431" t="s">
        <v>303</v>
      </c>
      <c r="C40" s="444"/>
      <c r="D40" s="440"/>
      <c r="E40" s="432">
        <v>-0.90619512062690477</v>
      </c>
      <c r="F40" s="432">
        <v>-1.0599210204454228</v>
      </c>
      <c r="G40" s="432">
        <v>-1.1428778544089995</v>
      </c>
    </row>
    <row r="41" spans="1:8" x14ac:dyDescent="0.2">
      <c r="B41" s="59" t="s">
        <v>301</v>
      </c>
      <c r="C41" s="346"/>
      <c r="D41" s="346"/>
      <c r="E41" s="456"/>
      <c r="F41" s="456"/>
      <c r="G41" s="456"/>
    </row>
    <row r="42" spans="1:8" x14ac:dyDescent="0.2">
      <c r="B42" s="335" t="s">
        <v>389</v>
      </c>
      <c r="E42" s="354"/>
    </row>
    <row r="45" spans="1:8" ht="13.5" thickBot="1" x14ac:dyDescent="0.25">
      <c r="B45" s="876" t="s">
        <v>1076</v>
      </c>
      <c r="C45" s="876"/>
      <c r="D45" s="876"/>
      <c r="E45" s="876"/>
      <c r="F45" s="876"/>
      <c r="G45" s="876"/>
    </row>
    <row r="46" spans="1:8" ht="13.5" thickBot="1" x14ac:dyDescent="0.25">
      <c r="B46" s="336" t="s">
        <v>1312</v>
      </c>
      <c r="C46" s="337" t="s">
        <v>1313</v>
      </c>
      <c r="D46" s="337" t="s">
        <v>62</v>
      </c>
      <c r="E46" s="337">
        <v>2019</v>
      </c>
      <c r="F46" s="338">
        <v>2020</v>
      </c>
      <c r="G46" s="337">
        <v>2021</v>
      </c>
    </row>
    <row r="47" spans="1:8" ht="13.5" thickBot="1" x14ac:dyDescent="0.25">
      <c r="B47" s="449" t="s">
        <v>1314</v>
      </c>
      <c r="C47" s="450" t="s">
        <v>165</v>
      </c>
      <c r="D47" s="437"/>
      <c r="E47" s="451">
        <v>0.29502915535837743</v>
      </c>
      <c r="F47" s="451">
        <v>0.34067476854714718</v>
      </c>
      <c r="G47" s="451">
        <v>0.3264101465243473</v>
      </c>
    </row>
    <row r="48" spans="1:8" ht="13.5" thickBot="1" x14ac:dyDescent="0.25">
      <c r="B48" s="449" t="s">
        <v>1315</v>
      </c>
      <c r="C48" s="450" t="s">
        <v>165</v>
      </c>
      <c r="D48" s="450" t="s">
        <v>38</v>
      </c>
      <c r="E48" s="451">
        <v>0.19519994686628298</v>
      </c>
      <c r="F48" s="451">
        <v>0.27549578106998457</v>
      </c>
      <c r="G48" s="451">
        <v>0.27143039335831076</v>
      </c>
    </row>
    <row r="49" spans="2:7" x14ac:dyDescent="0.2">
      <c r="B49" s="425" t="s">
        <v>1316</v>
      </c>
      <c r="C49" s="339"/>
      <c r="D49" s="339"/>
      <c r="E49" s="426">
        <v>0</v>
      </c>
      <c r="F49" s="426">
        <v>0</v>
      </c>
      <c r="G49" s="426">
        <v>0</v>
      </c>
    </row>
    <row r="50" spans="2:7" x14ac:dyDescent="0.2">
      <c r="B50" s="427" t="s">
        <v>1317</v>
      </c>
      <c r="C50" s="339"/>
      <c r="D50" s="339"/>
      <c r="E50" s="345">
        <v>1.2084283718599426E-2</v>
      </c>
      <c r="F50" s="345">
        <v>1.4064474520767908E-2</v>
      </c>
      <c r="G50" s="345">
        <v>1.3281373445407349E-2</v>
      </c>
    </row>
    <row r="51" spans="2:7" x14ac:dyDescent="0.2">
      <c r="B51" s="427" t="s">
        <v>1323</v>
      </c>
      <c r="C51" s="339"/>
      <c r="D51" s="339"/>
      <c r="E51" s="345">
        <v>5.5407836382970845E-2</v>
      </c>
      <c r="F51" s="345">
        <v>5.4161330452646594E-2</v>
      </c>
      <c r="G51" s="345">
        <v>5.3253816230377296E-2</v>
      </c>
    </row>
    <row r="52" spans="2:7" x14ac:dyDescent="0.2">
      <c r="B52" s="427" t="s">
        <v>1324</v>
      </c>
      <c r="C52" s="339"/>
      <c r="D52" s="339"/>
      <c r="E52" s="345">
        <v>9.303554616543612E-2</v>
      </c>
      <c r="F52" s="345">
        <v>0.17471396920208579</v>
      </c>
      <c r="G52" s="345">
        <v>0.17415189472928891</v>
      </c>
    </row>
    <row r="53" spans="2:7" ht="13.5" thickBot="1" x14ac:dyDescent="0.25">
      <c r="B53" s="429" t="s">
        <v>1325</v>
      </c>
      <c r="C53" s="419"/>
      <c r="D53" s="419"/>
      <c r="E53" s="435">
        <v>3.8445388860430391E-2</v>
      </c>
      <c r="F53" s="435">
        <v>3.6098817936637627E-2</v>
      </c>
      <c r="G53" s="435">
        <v>3.4088858509878868E-2</v>
      </c>
    </row>
    <row r="54" spans="2:7" ht="13.5" thickBot="1" x14ac:dyDescent="0.25">
      <c r="B54" s="418" t="s">
        <v>1330</v>
      </c>
      <c r="C54" s="419" t="s">
        <v>165</v>
      </c>
      <c r="D54" s="419" t="s">
        <v>40</v>
      </c>
      <c r="E54" s="420">
        <v>9.9829208492094423E-2</v>
      </c>
      <c r="F54" s="420">
        <v>6.5178987477162581E-2</v>
      </c>
      <c r="G54" s="420">
        <v>5.4979753166036503E-2</v>
      </c>
    </row>
    <row r="55" spans="2:7" x14ac:dyDescent="0.2">
      <c r="B55" s="428" t="s">
        <v>1318</v>
      </c>
      <c r="C55" s="195"/>
      <c r="D55" s="195"/>
      <c r="E55" s="421">
        <v>-1.7188538150536906E-2</v>
      </c>
      <c r="F55" s="421">
        <v>-2.2587782040130931E-2</v>
      </c>
      <c r="G55" s="421">
        <v>-2.6413736764682366E-2</v>
      </c>
    </row>
    <row r="56" spans="2:7" x14ac:dyDescent="0.2">
      <c r="B56" s="427" t="s">
        <v>1326</v>
      </c>
      <c r="C56" s="195"/>
      <c r="D56" s="195"/>
      <c r="E56" s="421">
        <v>-5.4789243036516859E-3</v>
      </c>
      <c r="F56" s="421">
        <v>-2.725301764504167E-2</v>
      </c>
      <c r="G56" s="421">
        <v>-2.722269091294674E-2</v>
      </c>
    </row>
    <row r="57" spans="2:7" ht="13.5" thickBot="1" x14ac:dyDescent="0.25">
      <c r="B57" s="429" t="s">
        <v>1319</v>
      </c>
      <c r="C57" s="419"/>
      <c r="D57" s="419"/>
      <c r="E57" s="420">
        <v>0.12249680245115757</v>
      </c>
      <c r="F57" s="420">
        <v>0.11502002972470649</v>
      </c>
      <c r="G57" s="420">
        <v>0.10861578697589862</v>
      </c>
    </row>
    <row r="58" spans="2:7" x14ac:dyDescent="0.2">
      <c r="B58" s="216" t="s">
        <v>1332</v>
      </c>
      <c r="C58" s="195" t="s">
        <v>165</v>
      </c>
      <c r="D58" s="195" t="s">
        <v>44</v>
      </c>
      <c r="E58" s="421">
        <v>6.7145821124176705E-2</v>
      </c>
      <c r="F58" s="421">
        <v>4.6517594300055344E-2</v>
      </c>
      <c r="G58" s="421">
        <v>3.5208013580744449E-2</v>
      </c>
    </row>
    <row r="59" spans="2:7" x14ac:dyDescent="0.2">
      <c r="B59" s="425" t="s">
        <v>1327</v>
      </c>
      <c r="C59" s="195"/>
      <c r="D59" s="195"/>
      <c r="E59" s="421">
        <v>0</v>
      </c>
      <c r="F59" s="421">
        <v>0</v>
      </c>
      <c r="G59" s="421">
        <v>4.5860610004659172E-2</v>
      </c>
    </row>
    <row r="60" spans="2:7" x14ac:dyDescent="0.2">
      <c r="B60" s="425" t="s">
        <v>1318</v>
      </c>
      <c r="C60" s="195"/>
      <c r="D60" s="195"/>
      <c r="E60" s="421">
        <v>-2.2422972953230452E-2</v>
      </c>
      <c r="F60" s="421">
        <v>-2.9460665118284907E-2</v>
      </c>
      <c r="G60" s="421">
        <v>-7.587686995031169E-2</v>
      </c>
    </row>
    <row r="61" spans="2:7" x14ac:dyDescent="0.2">
      <c r="B61" s="425" t="s">
        <v>1328</v>
      </c>
      <c r="C61" s="195"/>
      <c r="D61" s="195"/>
      <c r="E61" s="421">
        <v>8.9568013985885056E-2</v>
      </c>
      <c r="F61" s="421">
        <v>7.59779675363422E-2</v>
      </c>
      <c r="G61" s="421">
        <v>6.5224442564238691E-2</v>
      </c>
    </row>
    <row r="62" spans="2:7" ht="13.5" thickBot="1" x14ac:dyDescent="0.25">
      <c r="B62" s="340" t="s">
        <v>1331</v>
      </c>
      <c r="C62" s="452" t="s">
        <v>63</v>
      </c>
      <c r="D62" s="452" t="s">
        <v>305</v>
      </c>
      <c r="E62" s="342">
        <v>9.4772652129565857E-2</v>
      </c>
      <c r="F62" s="342">
        <v>9.9760008732670893E-2</v>
      </c>
      <c r="G62" s="342">
        <v>0.1082675665256726</v>
      </c>
    </row>
    <row r="63" spans="2:7" ht="13.5" thickBot="1" x14ac:dyDescent="0.25">
      <c r="B63" s="430" t="s">
        <v>1320</v>
      </c>
      <c r="C63" s="446"/>
      <c r="D63" s="446"/>
      <c r="E63" s="423">
        <v>1.0009487666281128E-2</v>
      </c>
      <c r="F63" s="342">
        <v>2.0582955648381508E-2</v>
      </c>
      <c r="G63" s="342">
        <v>2.5225993610429459E-2</v>
      </c>
    </row>
    <row r="64" spans="2:7" x14ac:dyDescent="0.2">
      <c r="B64" s="216" t="s">
        <v>1322</v>
      </c>
      <c r="C64" s="453" t="s">
        <v>63</v>
      </c>
      <c r="D64" s="453"/>
      <c r="E64" s="421">
        <v>0.20190483570851916</v>
      </c>
      <c r="F64" s="421">
        <v>0.12948253078364655</v>
      </c>
      <c r="G64" s="421">
        <v>0.12049788111244851</v>
      </c>
    </row>
    <row r="65" spans="2:7" x14ac:dyDescent="0.2">
      <c r="B65" s="425" t="s">
        <v>1321</v>
      </c>
      <c r="C65" s="424"/>
      <c r="D65" s="424"/>
      <c r="E65" s="421">
        <v>5.2637444563822314E-2</v>
      </c>
      <c r="F65" s="421">
        <v>5.2702468809809187E-2</v>
      </c>
      <c r="G65" s="421">
        <v>4.9768028569032632E-2</v>
      </c>
    </row>
    <row r="66" spans="2:7" ht="13.5" thickBot="1" x14ac:dyDescent="0.25">
      <c r="B66" s="429" t="s">
        <v>1329</v>
      </c>
      <c r="C66" s="337"/>
      <c r="D66" s="337"/>
      <c r="E66" s="420">
        <v>7.7668583831195806E-2</v>
      </c>
      <c r="F66" s="420">
        <v>7.9416467303830479E-2</v>
      </c>
      <c r="G66" s="420">
        <v>7.9076173317381288E-2</v>
      </c>
    </row>
    <row r="67" spans="2:7" ht="13.5" thickBot="1" x14ac:dyDescent="0.25">
      <c r="B67" s="343" t="s">
        <v>1333</v>
      </c>
      <c r="C67" s="341"/>
      <c r="D67" s="341"/>
      <c r="E67" s="344">
        <v>0.65885246432063915</v>
      </c>
      <c r="F67" s="344">
        <v>0.61643490236352005</v>
      </c>
      <c r="G67" s="344">
        <v>0.59038360774321286</v>
      </c>
    </row>
    <row r="68" spans="2:7" ht="13.5" thickBot="1" x14ac:dyDescent="0.25">
      <c r="B68" s="445"/>
      <c r="C68" s="446"/>
      <c r="D68" s="447"/>
      <c r="E68" s="422"/>
      <c r="F68" s="448"/>
      <c r="G68" s="422"/>
    </row>
    <row r="69" spans="2:7" ht="13.5" thickBot="1" x14ac:dyDescent="0.25">
      <c r="B69" s="336" t="s">
        <v>1077</v>
      </c>
      <c r="C69" s="337" t="s">
        <v>1078</v>
      </c>
      <c r="D69" s="337" t="s">
        <v>62</v>
      </c>
      <c r="E69" s="337">
        <v>2019</v>
      </c>
      <c r="F69" s="336">
        <v>2020</v>
      </c>
      <c r="G69" s="337">
        <v>2021</v>
      </c>
    </row>
    <row r="70" spans="2:7" ht="13.5" thickBot="1" x14ac:dyDescent="0.25">
      <c r="B70" s="454" t="s">
        <v>1079</v>
      </c>
      <c r="C70" s="438" t="s">
        <v>63</v>
      </c>
      <c r="D70" s="438" t="s">
        <v>296</v>
      </c>
      <c r="E70" s="440">
        <v>-0.42</v>
      </c>
      <c r="F70" s="440">
        <v>-0.68455146981447879</v>
      </c>
      <c r="G70" s="440">
        <v>-0.50369752031076098</v>
      </c>
    </row>
    <row r="71" spans="2:7" ht="13.5" thickBot="1" x14ac:dyDescent="0.25">
      <c r="B71" s="429" t="s">
        <v>1080</v>
      </c>
      <c r="C71" s="360"/>
      <c r="D71" s="360"/>
      <c r="E71" s="433">
        <v>-0.41659967110243079</v>
      </c>
      <c r="F71" s="433">
        <v>-0.68455146981447879</v>
      </c>
      <c r="G71" s="433">
        <v>-0.50369752031076098</v>
      </c>
    </row>
    <row r="72" spans="2:7" ht="13.5" thickBot="1" x14ac:dyDescent="0.25">
      <c r="B72" s="434" t="s">
        <v>1081</v>
      </c>
      <c r="C72" s="417" t="s">
        <v>63</v>
      </c>
      <c r="D72" s="417" t="s">
        <v>51</v>
      </c>
      <c r="E72" s="435">
        <v>-0.20359557792508179</v>
      </c>
      <c r="F72" s="435">
        <v>-0.37990911257131471</v>
      </c>
      <c r="G72" s="435">
        <v>-0.45856176217721506</v>
      </c>
    </row>
    <row r="73" spans="2:7" x14ac:dyDescent="0.2">
      <c r="B73" s="427" t="s">
        <v>1082</v>
      </c>
      <c r="C73" s="45"/>
      <c r="D73" s="45"/>
      <c r="E73" s="345">
        <v>-0.41349131629082725</v>
      </c>
      <c r="F73" s="345">
        <v>-0.38825326489352396</v>
      </c>
      <c r="G73" s="345">
        <v>-0.36663556785113455</v>
      </c>
    </row>
    <row r="74" spans="2:7" ht="13.5" thickBot="1" x14ac:dyDescent="0.25">
      <c r="B74" s="429" t="s">
        <v>1083</v>
      </c>
      <c r="C74" s="360"/>
      <c r="D74" s="360"/>
      <c r="E74" s="435">
        <v>-0.1230136665965211</v>
      </c>
      <c r="F74" s="435">
        <v>-0.1155053463058234</v>
      </c>
      <c r="G74" s="435">
        <v>-0.10907408143571254</v>
      </c>
    </row>
    <row r="75" spans="2:7" ht="13.5" thickBot="1" x14ac:dyDescent="0.25">
      <c r="B75" s="359" t="s">
        <v>1010</v>
      </c>
      <c r="C75" s="417" t="s">
        <v>63</v>
      </c>
      <c r="D75" s="417" t="s">
        <v>298</v>
      </c>
      <c r="E75" s="435">
        <v>-2.5115720983577512E-2</v>
      </c>
      <c r="F75" s="435">
        <v>-1.9806309590077405E-2</v>
      </c>
      <c r="G75" s="435">
        <v>-1.5939889337614324E-2</v>
      </c>
    </row>
    <row r="76" spans="2:7" ht="13.5" thickBot="1" x14ac:dyDescent="0.25">
      <c r="B76" s="359" t="s">
        <v>1084</v>
      </c>
      <c r="C76" s="417" t="s">
        <v>63</v>
      </c>
      <c r="D76" s="417" t="s">
        <v>300</v>
      </c>
      <c r="E76" s="435">
        <v>-8.0891306205974955E-2</v>
      </c>
      <c r="F76" s="435">
        <v>-0.10962233870952458</v>
      </c>
      <c r="G76" s="435">
        <v>-0.15821058023912177</v>
      </c>
    </row>
    <row r="77" spans="2:7" ht="13.5" thickBot="1" x14ac:dyDescent="0.25">
      <c r="B77" s="359" t="s">
        <v>1085</v>
      </c>
      <c r="C77" s="417" t="s">
        <v>63</v>
      </c>
      <c r="D77" s="360" t="s">
        <v>318</v>
      </c>
      <c r="E77" s="435">
        <v>-0.1666506198354345</v>
      </c>
      <c r="F77" s="435">
        <v>-0.11431045259797093</v>
      </c>
      <c r="G77" s="435">
        <v>-7.4950807976493755E-2</v>
      </c>
    </row>
    <row r="78" spans="2:7" ht="13.5" thickBot="1" x14ac:dyDescent="0.25">
      <c r="B78" s="454" t="s">
        <v>1086</v>
      </c>
      <c r="C78" s="438" t="s">
        <v>63</v>
      </c>
      <c r="D78" s="439"/>
      <c r="E78" s="440">
        <v>-1.3342224574400631E-2</v>
      </c>
      <c r="F78" s="440">
        <v>0.24827866283794439</v>
      </c>
      <c r="G78" s="440">
        <v>6.8482705632212509E-2</v>
      </c>
    </row>
    <row r="79" spans="2:7" x14ac:dyDescent="0.2">
      <c r="B79" s="441" t="s">
        <v>1087</v>
      </c>
      <c r="C79" s="416"/>
      <c r="D79" s="442" t="s">
        <v>319</v>
      </c>
      <c r="E79" s="443">
        <v>4.0033973912389741E-2</v>
      </c>
      <c r="F79" s="443">
        <v>0.28666208247015762</v>
      </c>
      <c r="G79" s="443">
        <v>5.6857813251435609E-2</v>
      </c>
    </row>
    <row r="80" spans="2:7" ht="13.5" thickBot="1" x14ac:dyDescent="0.25">
      <c r="B80" s="359" t="s">
        <v>1027</v>
      </c>
      <c r="C80" s="417"/>
      <c r="D80" s="360" t="s">
        <v>320</v>
      </c>
      <c r="E80" s="435">
        <v>-5.3376198486790316E-2</v>
      </c>
      <c r="F80" s="435">
        <v>-3.8383419632213339E-2</v>
      </c>
      <c r="G80" s="435">
        <v>1.1624892380777048E-2</v>
      </c>
    </row>
    <row r="81" spans="2:7" ht="13.5" thickBot="1" x14ac:dyDescent="0.25">
      <c r="B81" s="431" t="s">
        <v>1088</v>
      </c>
      <c r="C81" s="444"/>
      <c r="D81" s="440"/>
      <c r="E81" s="432">
        <v>-0.90619512062690477</v>
      </c>
      <c r="F81" s="432">
        <v>-1.0599210204454228</v>
      </c>
      <c r="G81" s="432">
        <v>-1.1428778544089995</v>
      </c>
    </row>
    <row r="82" spans="2:7" x14ac:dyDescent="0.2">
      <c r="B82" s="59" t="s">
        <v>1089</v>
      </c>
      <c r="C82" s="346"/>
      <c r="D82" s="346"/>
      <c r="E82" s="456"/>
      <c r="F82" s="456"/>
      <c r="G82" s="456"/>
    </row>
    <row r="83" spans="2:7" x14ac:dyDescent="0.2">
      <c r="B83" s="335" t="s">
        <v>1090</v>
      </c>
      <c r="E83" s="354"/>
    </row>
  </sheetData>
  <mergeCells count="2">
    <mergeCell ref="B4:G4"/>
    <mergeCell ref="B45:G4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B2:Y35"/>
  <sheetViews>
    <sheetView showGridLines="0" zoomScaleNormal="100" workbookViewId="0"/>
  </sheetViews>
  <sheetFormatPr defaultColWidth="9.140625" defaultRowHeight="12.75" x14ac:dyDescent="0.2"/>
  <cols>
    <col min="1" max="1" width="9.28515625" style="221" customWidth="1"/>
    <col min="2" max="8" width="9.140625" style="221"/>
    <col min="9" max="10" width="24.42578125" style="221" customWidth="1"/>
    <col min="11" max="25" width="7" style="221" customWidth="1"/>
    <col min="26" max="16384" width="9.140625" style="221"/>
  </cols>
  <sheetData>
    <row r="2" spans="2:25" x14ac:dyDescent="0.2">
      <c r="B2" s="6"/>
    </row>
    <row r="3" spans="2:25" x14ac:dyDescent="0.2">
      <c r="B3" s="6"/>
      <c r="C3" s="222"/>
    </row>
    <row r="4" spans="2:25" ht="13.5" thickBot="1" x14ac:dyDescent="0.25">
      <c r="B4" s="60" t="s">
        <v>785</v>
      </c>
      <c r="I4" s="223" t="s">
        <v>204</v>
      </c>
      <c r="J4" s="223"/>
      <c r="K4" s="224"/>
      <c r="L4" s="224"/>
      <c r="M4" s="224"/>
      <c r="N4" s="224"/>
      <c r="O4" s="224"/>
      <c r="P4" s="224"/>
      <c r="Q4" s="224"/>
      <c r="R4" s="224"/>
      <c r="S4" s="224"/>
    </row>
    <row r="5" spans="2:25" x14ac:dyDescent="0.2">
      <c r="I5" s="225" t="s">
        <v>1459</v>
      </c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6"/>
      <c r="V5" s="226"/>
      <c r="W5" s="226"/>
      <c r="X5" s="227"/>
    </row>
    <row r="6" spans="2:25" x14ac:dyDescent="0.2">
      <c r="I6" s="228"/>
      <c r="J6" s="228"/>
      <c r="K6" s="493">
        <v>2007</v>
      </c>
      <c r="L6" s="493">
        <v>2008</v>
      </c>
      <c r="M6" s="493">
        <v>2009</v>
      </c>
      <c r="N6" s="493">
        <v>2010</v>
      </c>
      <c r="O6" s="493">
        <v>2011</v>
      </c>
      <c r="P6" s="493">
        <v>2012</v>
      </c>
      <c r="Q6" s="493">
        <v>2013</v>
      </c>
      <c r="R6" s="493">
        <v>2014</v>
      </c>
      <c r="S6" s="493">
        <v>2015</v>
      </c>
      <c r="T6" s="493">
        <v>2016</v>
      </c>
      <c r="U6" s="493">
        <v>2017</v>
      </c>
      <c r="V6" s="493">
        <v>2018</v>
      </c>
      <c r="W6" s="493">
        <v>2019</v>
      </c>
      <c r="X6" s="493">
        <v>2020</v>
      </c>
      <c r="Y6" s="493">
        <v>2021</v>
      </c>
    </row>
    <row r="7" spans="2:25" x14ac:dyDescent="0.2">
      <c r="I7" s="230" t="s">
        <v>356</v>
      </c>
      <c r="J7" s="230" t="s">
        <v>356</v>
      </c>
      <c r="K7" s="495">
        <v>21684.5</v>
      </c>
      <c r="L7" s="495">
        <v>23636.5</v>
      </c>
      <c r="M7" s="495">
        <v>23227.7</v>
      </c>
      <c r="N7" s="495">
        <v>23422.3</v>
      </c>
      <c r="O7" s="495">
        <v>25807.1</v>
      </c>
      <c r="P7" s="495">
        <v>26380.6</v>
      </c>
      <c r="Q7" s="495">
        <v>28719.1</v>
      </c>
      <c r="R7" s="495">
        <v>29927.4</v>
      </c>
      <c r="S7" s="495">
        <v>33532.9</v>
      </c>
      <c r="T7" s="496">
        <v>31894</v>
      </c>
      <c r="U7" s="497">
        <v>33443.778999999995</v>
      </c>
      <c r="V7" s="497">
        <v>35388.049999999996</v>
      </c>
      <c r="W7" s="497">
        <v>37161.334999999999</v>
      </c>
      <c r="X7" s="497">
        <v>39744.764999999999</v>
      </c>
      <c r="Y7" s="494">
        <v>41076.82</v>
      </c>
    </row>
    <row r="8" spans="2:25" x14ac:dyDescent="0.2">
      <c r="I8" s="230" t="s">
        <v>357</v>
      </c>
      <c r="J8" s="691" t="s">
        <v>928</v>
      </c>
      <c r="K8" s="498">
        <v>63053.9</v>
      </c>
      <c r="L8" s="498">
        <v>68491.600000000006</v>
      </c>
      <c r="M8" s="498">
        <v>64023.1</v>
      </c>
      <c r="N8" s="498">
        <v>67577.3</v>
      </c>
      <c r="O8" s="498">
        <v>70627.205000000002</v>
      </c>
      <c r="P8" s="498">
        <v>72703.513000000006</v>
      </c>
      <c r="Q8" s="498">
        <v>74169.873000000007</v>
      </c>
      <c r="R8" s="498">
        <v>76087.789000000004</v>
      </c>
      <c r="S8" s="498">
        <v>79138.241999999998</v>
      </c>
      <c r="T8" s="498">
        <v>81226.073000000004</v>
      </c>
      <c r="U8" s="498">
        <v>84850.873999999996</v>
      </c>
      <c r="V8" s="498">
        <v>90320.597411415132</v>
      </c>
      <c r="W8" s="498">
        <v>96737.218954959098</v>
      </c>
      <c r="X8" s="498">
        <v>103025.53414707213</v>
      </c>
      <c r="Y8" s="494">
        <v>109100.16241588771</v>
      </c>
    </row>
    <row r="9" spans="2:25" x14ac:dyDescent="0.2">
      <c r="I9" s="235" t="s">
        <v>187</v>
      </c>
      <c r="J9" s="235" t="s">
        <v>187</v>
      </c>
      <c r="K9" s="508">
        <v>34.390418356358602</v>
      </c>
      <c r="L9" s="508">
        <v>34.51007130801441</v>
      </c>
      <c r="M9" s="508">
        <v>36.280186370231995</v>
      </c>
      <c r="N9" s="508">
        <v>34.660011571933175</v>
      </c>
      <c r="O9" s="508">
        <v>36.539885728169473</v>
      </c>
      <c r="P9" s="508">
        <v>36.285179231985666</v>
      </c>
      <c r="Q9" s="508">
        <v>38.720708069703711</v>
      </c>
      <c r="R9" s="508">
        <v>39.332723940762691</v>
      </c>
      <c r="S9" s="508">
        <v>42.372561169604957</v>
      </c>
      <c r="T9" s="508">
        <v>39.265717056147722</v>
      </c>
      <c r="U9" s="508">
        <v>39.414772557322152</v>
      </c>
      <c r="V9" s="508">
        <v>39.180487080710442</v>
      </c>
      <c r="W9" s="508">
        <v>38.414723310685972</v>
      </c>
      <c r="X9" s="508">
        <v>38.577586934189654</v>
      </c>
      <c r="Y9" s="492">
        <v>37.650558065547102</v>
      </c>
    </row>
    <row r="10" spans="2:25" x14ac:dyDescent="0.2">
      <c r="I10" s="235" t="s">
        <v>184</v>
      </c>
      <c r="J10" s="235" t="s">
        <v>925</v>
      </c>
      <c r="K10" s="500">
        <v>44.7</v>
      </c>
      <c r="L10" s="500">
        <v>44.4</v>
      </c>
      <c r="M10" s="500">
        <v>44.4</v>
      </c>
      <c r="N10" s="500">
        <v>44.3</v>
      </c>
      <c r="O10" s="500">
        <v>44.9</v>
      </c>
      <c r="P10" s="500">
        <v>46.1</v>
      </c>
      <c r="Q10" s="500">
        <v>46.8</v>
      </c>
      <c r="R10" s="500">
        <v>46.7</v>
      </c>
      <c r="S10" s="500">
        <v>46.3</v>
      </c>
      <c r="T10" s="501">
        <v>46.1</v>
      </c>
      <c r="U10" s="501">
        <v>46.2</v>
      </c>
      <c r="V10" s="501"/>
      <c r="W10" s="501"/>
      <c r="X10" s="501"/>
      <c r="Y10" s="494"/>
    </row>
    <row r="11" spans="2:25" x14ac:dyDescent="0.2">
      <c r="I11" s="235" t="s">
        <v>358</v>
      </c>
      <c r="J11" s="235" t="s">
        <v>926</v>
      </c>
      <c r="K11" s="500">
        <v>43.8</v>
      </c>
      <c r="L11" s="500">
        <v>43.8</v>
      </c>
      <c r="M11" s="500">
        <v>43.5</v>
      </c>
      <c r="N11" s="500">
        <v>43.5</v>
      </c>
      <c r="O11" s="500">
        <v>44</v>
      </c>
      <c r="P11" s="500">
        <v>44.7</v>
      </c>
      <c r="Q11" s="500">
        <v>45.3</v>
      </c>
      <c r="R11" s="500">
        <v>45.1</v>
      </c>
      <c r="S11" s="500">
        <v>44.7</v>
      </c>
      <c r="T11" s="501">
        <v>44.7</v>
      </c>
      <c r="U11" s="501">
        <v>44.9</v>
      </c>
      <c r="V11" s="501"/>
      <c r="W11" s="501"/>
      <c r="X11" s="501"/>
      <c r="Y11" s="494"/>
    </row>
    <row r="12" spans="2:25" x14ac:dyDescent="0.2">
      <c r="I12" s="235" t="s">
        <v>359</v>
      </c>
      <c r="J12" s="235" t="s">
        <v>927</v>
      </c>
      <c r="K12" s="499">
        <v>41.866666666666667</v>
      </c>
      <c r="L12" s="499">
        <v>41.266666666666673</v>
      </c>
      <c r="M12" s="499">
        <v>40.6</v>
      </c>
      <c r="N12" s="499">
        <v>40.699999999999996</v>
      </c>
      <c r="O12" s="499">
        <v>41.2</v>
      </c>
      <c r="P12" s="499">
        <v>41.9</v>
      </c>
      <c r="Q12" s="499">
        <v>42.2</v>
      </c>
      <c r="R12" s="499">
        <v>41.9</v>
      </c>
      <c r="S12" s="499">
        <v>42.733333333333327</v>
      </c>
      <c r="T12" s="499">
        <v>41.300000000000004</v>
      </c>
      <c r="U12" s="499">
        <v>41.5</v>
      </c>
      <c r="V12" s="499"/>
      <c r="W12" s="499"/>
      <c r="X12" s="499"/>
      <c r="Y12" s="494"/>
    </row>
    <row r="13" spans="2:25" x14ac:dyDescent="0.2">
      <c r="I13" s="239" t="s">
        <v>360</v>
      </c>
      <c r="J13" s="239" t="s">
        <v>360</v>
      </c>
      <c r="K13" s="499">
        <v>39.299999999999997</v>
      </c>
      <c r="L13" s="499">
        <v>38.1</v>
      </c>
      <c r="M13" s="499">
        <v>38.1</v>
      </c>
      <c r="N13" s="499">
        <v>38.6</v>
      </c>
      <c r="O13" s="499">
        <v>40.299999999999997</v>
      </c>
      <c r="P13" s="499">
        <v>40.5</v>
      </c>
      <c r="Q13" s="499">
        <v>41.4</v>
      </c>
      <c r="R13" s="499">
        <v>40.299999999999997</v>
      </c>
      <c r="S13" s="499">
        <v>41.1</v>
      </c>
      <c r="T13" s="501">
        <v>40.200000000000003</v>
      </c>
      <c r="U13" s="501">
        <v>40.4</v>
      </c>
      <c r="V13" s="501"/>
      <c r="W13" s="501"/>
      <c r="X13" s="501"/>
      <c r="Y13" s="494"/>
    </row>
    <row r="14" spans="2:25" x14ac:dyDescent="0.2">
      <c r="I14" s="239" t="s">
        <v>185</v>
      </c>
      <c r="J14" s="239" t="s">
        <v>185</v>
      </c>
      <c r="K14" s="499">
        <v>41.3</v>
      </c>
      <c r="L14" s="499">
        <v>40.6</v>
      </c>
      <c r="M14" s="499">
        <v>37.700000000000003</v>
      </c>
      <c r="N14" s="499">
        <v>38.5</v>
      </c>
      <c r="O14" s="499">
        <v>39.1</v>
      </c>
      <c r="P14" s="499">
        <v>39.1</v>
      </c>
      <c r="Q14" s="499">
        <v>38.5</v>
      </c>
      <c r="R14" s="499">
        <v>38.6</v>
      </c>
      <c r="S14" s="499">
        <v>38.9</v>
      </c>
      <c r="T14" s="501">
        <v>38.799999999999997</v>
      </c>
      <c r="U14" s="501">
        <v>39.6</v>
      </c>
      <c r="V14" s="501"/>
      <c r="W14" s="501"/>
      <c r="X14" s="501"/>
      <c r="Y14" s="494"/>
    </row>
    <row r="15" spans="2:25" x14ac:dyDescent="0.2">
      <c r="I15" s="240" t="s">
        <v>186</v>
      </c>
      <c r="J15" s="240" t="s">
        <v>186</v>
      </c>
      <c r="K15" s="502">
        <v>45</v>
      </c>
      <c r="L15" s="502">
        <v>45.1</v>
      </c>
      <c r="M15" s="502">
        <v>46</v>
      </c>
      <c r="N15" s="502">
        <v>45</v>
      </c>
      <c r="O15" s="502">
        <v>44.2</v>
      </c>
      <c r="P15" s="502">
        <v>46.1</v>
      </c>
      <c r="Q15" s="502">
        <v>46.7</v>
      </c>
      <c r="R15" s="502">
        <v>46.8</v>
      </c>
      <c r="S15" s="502">
        <v>48.2</v>
      </c>
      <c r="T15" s="503">
        <v>44.9</v>
      </c>
      <c r="U15" s="501">
        <v>44.5</v>
      </c>
      <c r="V15" s="501"/>
      <c r="W15" s="501"/>
      <c r="X15" s="501"/>
      <c r="Y15" s="494"/>
    </row>
    <row r="16" spans="2:25" x14ac:dyDescent="0.2"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  <c r="Y16" s="494"/>
    </row>
    <row r="20" spans="2:25" x14ac:dyDescent="0.2">
      <c r="B20" s="60" t="s">
        <v>786</v>
      </c>
      <c r="I20" s="225" t="s">
        <v>1460</v>
      </c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6"/>
      <c r="V20" s="226"/>
      <c r="W20" s="226"/>
      <c r="X20" s="227"/>
    </row>
    <row r="21" spans="2:25" x14ac:dyDescent="0.2">
      <c r="I21" s="228"/>
      <c r="J21" s="228"/>
      <c r="K21" s="229">
        <v>2007</v>
      </c>
      <c r="L21" s="229">
        <v>2008</v>
      </c>
      <c r="M21" s="229">
        <v>2009</v>
      </c>
      <c r="N21" s="229">
        <v>2010</v>
      </c>
      <c r="O21" s="229">
        <v>2011</v>
      </c>
      <c r="P21" s="229">
        <v>2012</v>
      </c>
      <c r="Q21" s="229">
        <v>2013</v>
      </c>
      <c r="R21" s="229">
        <v>2014</v>
      </c>
      <c r="S21" s="229">
        <v>2015</v>
      </c>
      <c r="T21" s="229">
        <v>2016</v>
      </c>
      <c r="U21" s="229">
        <v>2017</v>
      </c>
      <c r="V21" s="229">
        <v>2018</v>
      </c>
      <c r="W21" s="229">
        <v>2019</v>
      </c>
      <c r="X21" s="229">
        <v>2020</v>
      </c>
      <c r="Y21" s="229">
        <v>2021</v>
      </c>
    </row>
    <row r="22" spans="2:25" x14ac:dyDescent="0.2">
      <c r="I22" s="230" t="s">
        <v>187</v>
      </c>
      <c r="J22" s="230" t="s">
        <v>187</v>
      </c>
      <c r="K22" s="231">
        <v>16335.1</v>
      </c>
      <c r="L22" s="231">
        <v>19043.3</v>
      </c>
      <c r="M22" s="231">
        <v>18411.599999999999</v>
      </c>
      <c r="N22" s="231">
        <v>18915.099999999999</v>
      </c>
      <c r="O22" s="231">
        <v>20152.900000000001</v>
      </c>
      <c r="P22" s="231">
        <v>20498.7</v>
      </c>
      <c r="Q22" s="231">
        <v>22353.599999999999</v>
      </c>
      <c r="R22" s="231">
        <v>23612.1</v>
      </c>
      <c r="S22" s="231">
        <v>25344.400000000001</v>
      </c>
      <c r="T22" s="232">
        <v>26204.3</v>
      </c>
      <c r="U22" s="233">
        <v>28013.909999999996</v>
      </c>
      <c r="V22" s="233">
        <v>30123.682000000001</v>
      </c>
      <c r="W22" s="233">
        <v>31780.593000000001</v>
      </c>
      <c r="X22" s="233">
        <v>33349.514999999999</v>
      </c>
      <c r="Y22" s="221">
        <v>34623.546999999999</v>
      </c>
    </row>
    <row r="23" spans="2:25" x14ac:dyDescent="0.2">
      <c r="C23" s="222"/>
      <c r="I23" s="230" t="s">
        <v>361</v>
      </c>
      <c r="J23" s="691" t="s">
        <v>929</v>
      </c>
      <c r="K23" s="234">
        <v>63053.9</v>
      </c>
      <c r="L23" s="234">
        <v>68491.600000000006</v>
      </c>
      <c r="M23" s="234">
        <v>64023.1</v>
      </c>
      <c r="N23" s="234">
        <v>67577.3</v>
      </c>
      <c r="O23" s="234">
        <v>70627.205000000002</v>
      </c>
      <c r="P23" s="234">
        <v>72703.513000000006</v>
      </c>
      <c r="Q23" s="234">
        <v>74169.873000000007</v>
      </c>
      <c r="R23" s="234">
        <v>76087.789000000004</v>
      </c>
      <c r="S23" s="234">
        <v>79138.241999999998</v>
      </c>
      <c r="T23" s="234">
        <v>81226.073000000004</v>
      </c>
      <c r="U23" s="234">
        <v>84850.873999999996</v>
      </c>
      <c r="V23" s="234">
        <v>90320.597411415132</v>
      </c>
      <c r="W23" s="234">
        <v>96737.218954959098</v>
      </c>
      <c r="X23" s="234">
        <v>103025.53414707213</v>
      </c>
      <c r="Y23" s="221">
        <v>109100.16241588771</v>
      </c>
    </row>
    <row r="24" spans="2:25" x14ac:dyDescent="0.2">
      <c r="I24" s="235" t="s">
        <v>187</v>
      </c>
      <c r="J24" s="235" t="s">
        <v>187</v>
      </c>
      <c r="K24" s="236">
        <v>25.906565652560747</v>
      </c>
      <c r="L24" s="236">
        <v>27.803847479106924</v>
      </c>
      <c r="M24" s="236">
        <v>28.757745251323346</v>
      </c>
      <c r="N24" s="236">
        <v>27.990316274843767</v>
      </c>
      <c r="O24" s="236">
        <v>28.534188773292108</v>
      </c>
      <c r="P24" s="236">
        <v>28.194923675833927</v>
      </c>
      <c r="Q24" s="236">
        <v>30.138382466962021</v>
      </c>
      <c r="R24" s="236">
        <v>31.032706181014142</v>
      </c>
      <c r="S24" s="236">
        <v>32.025477644550158</v>
      </c>
      <c r="T24" s="236">
        <v>32.260946555916838</v>
      </c>
      <c r="U24" s="236">
        <v>33.015464283844615</v>
      </c>
      <c r="V24" s="236">
        <v>33.351951673642091</v>
      </c>
      <c r="W24" s="236">
        <v>32.852498080182627</v>
      </c>
      <c r="X24" s="236">
        <v>32.370145203413884</v>
      </c>
      <c r="Y24" s="492">
        <v>31.735559538413614</v>
      </c>
    </row>
    <row r="25" spans="2:25" x14ac:dyDescent="0.2">
      <c r="I25" s="235" t="s">
        <v>184</v>
      </c>
      <c r="J25" s="235" t="s">
        <v>925</v>
      </c>
      <c r="K25" s="237">
        <v>40</v>
      </c>
      <c r="L25" s="237">
        <v>39.5</v>
      </c>
      <c r="M25" s="237">
        <v>39.300000000000004</v>
      </c>
      <c r="N25" s="237">
        <v>39.199999999999996</v>
      </c>
      <c r="O25" s="237">
        <v>39.699999999999996</v>
      </c>
      <c r="P25" s="237">
        <v>40.700000000000003</v>
      </c>
      <c r="Q25" s="237">
        <v>41.4</v>
      </c>
      <c r="R25" s="237">
        <v>41.3</v>
      </c>
      <c r="S25" s="237">
        <v>41.099999999999994</v>
      </c>
      <c r="T25" s="238">
        <v>41.2</v>
      </c>
      <c r="U25" s="238">
        <v>41.5</v>
      </c>
      <c r="V25" s="238"/>
      <c r="W25" s="238"/>
      <c r="X25" s="238"/>
    </row>
    <row r="26" spans="2:25" x14ac:dyDescent="0.2">
      <c r="I26" s="235" t="s">
        <v>358</v>
      </c>
      <c r="J26" s="235" t="s">
        <v>926</v>
      </c>
      <c r="K26" s="237">
        <v>39</v>
      </c>
      <c r="L26" s="237">
        <v>38.799999999999997</v>
      </c>
      <c r="M26" s="237">
        <v>38.199999999999996</v>
      </c>
      <c r="N26" s="237">
        <v>38.299999999999997</v>
      </c>
      <c r="O26" s="237">
        <v>38.9</v>
      </c>
      <c r="P26" s="237">
        <v>39.400000000000006</v>
      </c>
      <c r="Q26" s="237">
        <v>39.9</v>
      </c>
      <c r="R26" s="237">
        <v>39.9</v>
      </c>
      <c r="S26" s="237">
        <v>39.699999999999996</v>
      </c>
      <c r="T26" s="238">
        <v>40</v>
      </c>
      <c r="U26" s="238">
        <v>40.299999999999997</v>
      </c>
      <c r="V26" s="238"/>
      <c r="W26" s="238"/>
      <c r="X26" s="238"/>
    </row>
    <row r="27" spans="2:25" x14ac:dyDescent="0.2">
      <c r="I27" s="235" t="s">
        <v>359</v>
      </c>
      <c r="J27" s="235" t="s">
        <v>927</v>
      </c>
      <c r="K27" s="236">
        <v>36.366666666666667</v>
      </c>
      <c r="L27" s="236">
        <v>35.800000000000004</v>
      </c>
      <c r="M27" s="236">
        <v>34.366666666666667</v>
      </c>
      <c r="N27" s="236">
        <v>34</v>
      </c>
      <c r="O27" s="236">
        <v>34.299999999999997</v>
      </c>
      <c r="P27" s="236">
        <v>35.133333333333333</v>
      </c>
      <c r="Q27" s="236">
        <v>35.199999999999996</v>
      </c>
      <c r="R27" s="236">
        <v>34.833333333333336</v>
      </c>
      <c r="S27" s="236">
        <v>35.266666666666666</v>
      </c>
      <c r="T27" s="236">
        <v>36.06666666666667</v>
      </c>
      <c r="U27" s="236">
        <v>36.133333333333333</v>
      </c>
      <c r="V27" s="236"/>
      <c r="W27" s="236"/>
      <c r="X27" s="236"/>
    </row>
    <row r="28" spans="2:25" x14ac:dyDescent="0.2">
      <c r="I28" s="239" t="s">
        <v>360</v>
      </c>
      <c r="J28" s="239" t="s">
        <v>360</v>
      </c>
      <c r="K28" s="236">
        <v>34.4</v>
      </c>
      <c r="L28" s="236">
        <v>33.1</v>
      </c>
      <c r="M28" s="236">
        <v>32.099999999999994</v>
      </c>
      <c r="N28" s="236">
        <v>32.5</v>
      </c>
      <c r="O28" s="236">
        <v>33.599999999999994</v>
      </c>
      <c r="P28" s="236">
        <v>34.1</v>
      </c>
      <c r="Q28" s="236">
        <v>34.700000000000003</v>
      </c>
      <c r="R28" s="236">
        <v>33.700000000000003</v>
      </c>
      <c r="S28" s="236">
        <v>33.799999999999997</v>
      </c>
      <c r="T28" s="238">
        <v>34.599999999999994</v>
      </c>
      <c r="U28" s="238">
        <v>35.200000000000003</v>
      </c>
      <c r="V28" s="238"/>
      <c r="W28" s="238"/>
      <c r="X28" s="238"/>
    </row>
    <row r="29" spans="2:25" x14ac:dyDescent="0.2">
      <c r="I29" s="239" t="s">
        <v>185</v>
      </c>
      <c r="J29" s="239" t="s">
        <v>185</v>
      </c>
      <c r="K29" s="236">
        <v>35.5</v>
      </c>
      <c r="L29" s="236">
        <v>35</v>
      </c>
      <c r="M29" s="236">
        <v>32.1</v>
      </c>
      <c r="N29" s="236">
        <v>32.4</v>
      </c>
      <c r="O29" s="236">
        <v>32.799999999999997</v>
      </c>
      <c r="P29" s="236">
        <v>33</v>
      </c>
      <c r="Q29" s="236">
        <v>33</v>
      </c>
      <c r="R29" s="236">
        <v>32.799999999999997</v>
      </c>
      <c r="S29" s="236">
        <v>33.200000000000003</v>
      </c>
      <c r="T29" s="238">
        <v>34.400000000000006</v>
      </c>
      <c r="U29" s="238">
        <v>35</v>
      </c>
      <c r="V29" s="238"/>
      <c r="W29" s="238"/>
      <c r="X29" s="238"/>
    </row>
    <row r="30" spans="2:25" x14ac:dyDescent="0.2">
      <c r="I30" s="240" t="s">
        <v>186</v>
      </c>
      <c r="J30" s="240" t="s">
        <v>186</v>
      </c>
      <c r="K30" s="241">
        <v>39.200000000000003</v>
      </c>
      <c r="L30" s="241">
        <v>39.300000000000004</v>
      </c>
      <c r="M30" s="241">
        <v>38.9</v>
      </c>
      <c r="N30" s="241">
        <v>37.1</v>
      </c>
      <c r="O30" s="241">
        <v>36.5</v>
      </c>
      <c r="P30" s="241">
        <v>38.299999999999997</v>
      </c>
      <c r="Q30" s="241">
        <v>37.9</v>
      </c>
      <c r="R30" s="241">
        <v>38</v>
      </c>
      <c r="S30" s="241">
        <v>38.799999999999997</v>
      </c>
      <c r="T30" s="242">
        <v>39.200000000000003</v>
      </c>
      <c r="U30" s="238">
        <v>38.200000000000003</v>
      </c>
      <c r="V30" s="238"/>
      <c r="W30" s="238"/>
      <c r="X30" s="238"/>
    </row>
    <row r="35" spans="2:9" x14ac:dyDescent="0.2">
      <c r="B35" s="60" t="s">
        <v>1462</v>
      </c>
      <c r="I35" s="60" t="s">
        <v>1461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>
    <pageSetUpPr fitToPage="1"/>
  </sheetPr>
  <dimension ref="B3:T35"/>
  <sheetViews>
    <sheetView showGridLines="0" zoomScaleNormal="100" workbookViewId="0">
      <selection activeCell="L35" sqref="L35"/>
    </sheetView>
  </sheetViews>
  <sheetFormatPr defaultColWidth="9.140625" defaultRowHeight="12.75" x14ac:dyDescent="0.2"/>
  <cols>
    <col min="1" max="1" width="12.140625" style="246" customWidth="1"/>
    <col min="2" max="2" width="26.140625" style="246" customWidth="1"/>
    <col min="3" max="3" width="15.7109375" style="246" customWidth="1"/>
    <col min="4" max="8" width="10.42578125" style="246" customWidth="1"/>
    <col min="9" max="9" width="10.42578125" style="250" customWidth="1"/>
    <col min="10" max="11" width="11.140625" style="250" customWidth="1"/>
    <col min="12" max="13" width="18.28515625" style="250" customWidth="1"/>
    <col min="14" max="14" width="16.5703125" style="250" customWidth="1"/>
    <col min="15" max="15" width="16.28515625" style="250" customWidth="1"/>
    <col min="16" max="17" width="13.28515625" style="246" customWidth="1"/>
    <col min="18" max="16384" width="9.140625" style="246"/>
  </cols>
  <sheetData>
    <row r="3" spans="2:19" ht="13.5" thickBot="1" x14ac:dyDescent="0.25">
      <c r="B3" s="877" t="s">
        <v>729</v>
      </c>
      <c r="C3" s="877"/>
      <c r="D3" s="877"/>
      <c r="E3" s="877"/>
      <c r="F3" s="877"/>
      <c r="G3" s="877"/>
      <c r="H3" s="877"/>
      <c r="I3" s="877"/>
      <c r="J3" s="243"/>
      <c r="K3" s="243"/>
      <c r="L3" s="244" t="s">
        <v>812</v>
      </c>
      <c r="M3" s="244"/>
      <c r="N3" s="244"/>
      <c r="O3" s="244"/>
      <c r="P3" s="244"/>
      <c r="Q3" s="244"/>
      <c r="R3" s="245"/>
      <c r="S3" s="245"/>
    </row>
    <row r="4" spans="2:19" x14ac:dyDescent="0.2">
      <c r="G4" s="243"/>
      <c r="H4" s="243"/>
      <c r="I4" s="243"/>
      <c r="J4" s="243"/>
      <c r="K4" s="243"/>
      <c r="L4" s="243"/>
      <c r="M4" s="243"/>
      <c r="N4" s="243"/>
      <c r="O4" s="243"/>
    </row>
    <row r="5" spans="2:19" x14ac:dyDescent="0.2">
      <c r="G5" s="243"/>
      <c r="H5" s="243"/>
      <c r="I5" s="243"/>
      <c r="J5" s="243"/>
      <c r="K5" s="243"/>
      <c r="L5" s="243"/>
      <c r="M5" s="243"/>
      <c r="N5" s="243"/>
      <c r="O5" s="243"/>
    </row>
    <row r="6" spans="2:19" x14ac:dyDescent="0.2">
      <c r="G6" s="243"/>
      <c r="H6" s="243"/>
      <c r="I6" s="243"/>
      <c r="J6" s="243"/>
      <c r="K6" s="243"/>
      <c r="L6" s="243"/>
      <c r="M6" s="243"/>
      <c r="N6" s="243"/>
      <c r="O6" s="243"/>
    </row>
    <row r="7" spans="2:19" x14ac:dyDescent="0.2">
      <c r="G7" s="243"/>
      <c r="H7" s="243"/>
      <c r="I7" s="243"/>
      <c r="J7" s="243"/>
      <c r="K7" s="243"/>
      <c r="L7" s="243"/>
      <c r="M7" s="243"/>
      <c r="N7" s="243"/>
      <c r="O7" s="243"/>
    </row>
    <row r="8" spans="2:19" x14ac:dyDescent="0.2">
      <c r="G8" s="243"/>
      <c r="H8" s="243"/>
      <c r="I8" s="243"/>
      <c r="J8" s="243"/>
      <c r="K8" s="243"/>
      <c r="L8" s="243"/>
      <c r="M8" s="243"/>
      <c r="N8" s="243"/>
      <c r="O8" s="243"/>
    </row>
    <row r="9" spans="2:19" x14ac:dyDescent="0.2">
      <c r="G9" s="243"/>
      <c r="H9" s="243"/>
      <c r="I9" s="243"/>
      <c r="J9" s="243"/>
      <c r="K9" s="243"/>
      <c r="L9" s="243"/>
      <c r="M9" s="243"/>
      <c r="N9" s="243"/>
      <c r="O9" s="243"/>
    </row>
    <row r="10" spans="2:19" x14ac:dyDescent="0.2">
      <c r="G10" s="243"/>
      <c r="H10" s="243"/>
      <c r="I10" s="243"/>
      <c r="J10" s="243"/>
      <c r="K10" s="243"/>
      <c r="L10" s="243"/>
      <c r="M10" s="243"/>
      <c r="N10" s="243"/>
      <c r="O10" s="243"/>
    </row>
    <row r="11" spans="2:19" x14ac:dyDescent="0.2">
      <c r="G11" s="243"/>
      <c r="H11" s="243"/>
      <c r="I11" s="243"/>
      <c r="J11" s="243"/>
      <c r="K11" s="243"/>
      <c r="L11" s="243"/>
      <c r="M11" s="243"/>
      <c r="N11" s="243"/>
      <c r="O11" s="243"/>
    </row>
    <row r="12" spans="2:19" x14ac:dyDescent="0.2">
      <c r="G12" s="243"/>
      <c r="H12" s="243"/>
      <c r="I12" s="243"/>
      <c r="J12" s="243"/>
      <c r="K12" s="243"/>
      <c r="L12" s="243"/>
      <c r="M12" s="243"/>
      <c r="N12" s="243"/>
      <c r="O12" s="243"/>
    </row>
    <row r="13" spans="2:19" x14ac:dyDescent="0.2">
      <c r="G13" s="243"/>
      <c r="H13" s="243"/>
      <c r="I13" s="243"/>
      <c r="J13" s="243"/>
      <c r="K13" s="243"/>
      <c r="L13" s="243"/>
      <c r="M13" s="243"/>
      <c r="N13" s="243"/>
      <c r="O13" s="243"/>
    </row>
    <row r="14" spans="2:19" x14ac:dyDescent="0.2">
      <c r="G14" s="243"/>
      <c r="H14" s="243"/>
      <c r="I14" s="243"/>
      <c r="J14" s="243"/>
      <c r="K14" s="243"/>
      <c r="L14" s="243"/>
      <c r="M14" s="243"/>
      <c r="N14" s="243"/>
      <c r="O14" s="243"/>
    </row>
    <row r="15" spans="2:19" x14ac:dyDescent="0.2">
      <c r="G15" s="243"/>
      <c r="H15" s="243"/>
      <c r="I15" s="243"/>
      <c r="J15" s="243"/>
      <c r="K15" s="243"/>
      <c r="L15" s="243"/>
      <c r="M15" s="243"/>
      <c r="N15" s="243"/>
      <c r="O15" s="243"/>
    </row>
    <row r="16" spans="2:19" x14ac:dyDescent="0.2">
      <c r="G16" s="243"/>
      <c r="H16" s="243"/>
      <c r="I16" s="243"/>
      <c r="J16" s="243"/>
      <c r="K16" s="243"/>
      <c r="L16" s="243"/>
      <c r="M16" s="243"/>
      <c r="N16" s="243"/>
      <c r="O16" s="243"/>
    </row>
    <row r="17" spans="2:20" x14ac:dyDescent="0.2">
      <c r="G17" s="243"/>
      <c r="H17" s="243"/>
      <c r="I17" s="243"/>
      <c r="J17" s="243"/>
      <c r="K17" s="243"/>
      <c r="L17" s="243"/>
      <c r="M17" s="243"/>
      <c r="N17" s="243"/>
      <c r="O17" s="243"/>
    </row>
    <row r="18" spans="2:20" x14ac:dyDescent="0.2">
      <c r="G18" s="243"/>
      <c r="H18" s="243"/>
      <c r="I18" s="243"/>
      <c r="J18" s="243"/>
      <c r="K18" s="243"/>
      <c r="L18" s="243"/>
      <c r="M18" s="243"/>
      <c r="N18" s="243"/>
      <c r="O18" s="243"/>
    </row>
    <row r="20" spans="2:20" ht="13.5" thickBot="1" x14ac:dyDescent="0.25">
      <c r="B20" s="877" t="s">
        <v>362</v>
      </c>
      <c r="C20" s="877"/>
      <c r="D20" s="877"/>
      <c r="E20" s="877"/>
      <c r="F20" s="877"/>
      <c r="G20" s="877"/>
      <c r="H20" s="877"/>
      <c r="I20" s="877"/>
      <c r="J20" s="247"/>
      <c r="K20" s="247"/>
      <c r="L20" s="878" t="s">
        <v>813</v>
      </c>
      <c r="M20" s="878"/>
      <c r="N20" s="878"/>
      <c r="O20" s="878"/>
      <c r="P20" s="878"/>
      <c r="Q20" s="878"/>
    </row>
    <row r="21" spans="2:20" s="250" customFormat="1" x14ac:dyDescent="0.2">
      <c r="B21" s="248"/>
      <c r="C21" s="248"/>
      <c r="D21" s="249">
        <v>2015</v>
      </c>
      <c r="E21" s="249">
        <v>2016</v>
      </c>
      <c r="F21" s="249">
        <v>2017</v>
      </c>
      <c r="G21" s="249">
        <v>2018</v>
      </c>
      <c r="H21" s="249">
        <v>2019</v>
      </c>
      <c r="I21" s="249">
        <v>2020</v>
      </c>
      <c r="J21" s="249">
        <v>2021</v>
      </c>
      <c r="L21" s="251"/>
      <c r="M21" s="251"/>
      <c r="N21" s="251" t="s">
        <v>154</v>
      </c>
      <c r="O21" s="251" t="s">
        <v>185</v>
      </c>
      <c r="P21" s="251" t="s">
        <v>186</v>
      </c>
      <c r="Q21" s="251" t="s">
        <v>363</v>
      </c>
      <c r="R21" s="251" t="s">
        <v>950</v>
      </c>
      <c r="S21" s="246"/>
      <c r="T21" s="246"/>
    </row>
    <row r="22" spans="2:20" s="250" customFormat="1" x14ac:dyDescent="0.2">
      <c r="B22" s="252" t="s">
        <v>364</v>
      </c>
      <c r="C22" s="260" t="s">
        <v>930</v>
      </c>
      <c r="D22" s="253">
        <v>7.7934960859785907</v>
      </c>
      <c r="E22" s="253">
        <v>8.1036417949197173</v>
      </c>
      <c r="F22" s="253">
        <v>8.361440095478569</v>
      </c>
      <c r="G22" s="253">
        <v>8.6786438804149455</v>
      </c>
      <c r="H22" s="253">
        <v>8.4276725008974047</v>
      </c>
      <c r="I22" s="253">
        <v>8.4186877280524026</v>
      </c>
      <c r="J22" s="253">
        <v>8.3955172908763185</v>
      </c>
      <c r="L22" s="247" t="s">
        <v>365</v>
      </c>
      <c r="M22" s="247" t="s">
        <v>941</v>
      </c>
      <c r="N22" s="254">
        <v>0.35549132947976886</v>
      </c>
      <c r="O22" s="254">
        <v>0.46428571428571425</v>
      </c>
      <c r="P22" s="254">
        <v>0.40406976744186041</v>
      </c>
      <c r="Q22" s="254">
        <v>0.33229813664596269</v>
      </c>
      <c r="R22" s="254">
        <v>0.34750000000000003</v>
      </c>
      <c r="S22" s="246"/>
      <c r="T22" s="246"/>
    </row>
    <row r="23" spans="2:20" s="250" customFormat="1" x14ac:dyDescent="0.2">
      <c r="B23" s="255" t="s">
        <v>189</v>
      </c>
      <c r="C23" s="255" t="s">
        <v>931</v>
      </c>
      <c r="D23" s="253">
        <v>6.8489932372771207</v>
      </c>
      <c r="E23" s="256">
        <v>6.6713505771601209</v>
      </c>
      <c r="F23" s="256">
        <v>6.9728241232965935</v>
      </c>
      <c r="G23" s="256">
        <v>7.0299701086759203</v>
      </c>
      <c r="H23" s="256">
        <v>6.8884179966994976</v>
      </c>
      <c r="I23" s="256">
        <v>6.8100467113175256</v>
      </c>
      <c r="J23" s="256">
        <v>6.7553144164034133</v>
      </c>
      <c r="L23" s="257" t="s">
        <v>366</v>
      </c>
      <c r="M23" s="257" t="s">
        <v>942</v>
      </c>
      <c r="N23" s="258">
        <v>0.6445086705202312</v>
      </c>
      <c r="O23" s="258">
        <v>0.53571428571428581</v>
      </c>
      <c r="P23" s="258">
        <v>0.59593023255813959</v>
      </c>
      <c r="Q23" s="258">
        <v>0.66770186335403725</v>
      </c>
      <c r="R23" s="258">
        <v>0.65249999999999997</v>
      </c>
      <c r="S23" s="246"/>
      <c r="T23" s="246"/>
    </row>
    <row r="24" spans="2:20" s="250" customFormat="1" x14ac:dyDescent="0.2">
      <c r="B24" s="259" t="s">
        <v>180</v>
      </c>
      <c r="C24" s="259" t="s">
        <v>932</v>
      </c>
      <c r="D24" s="253">
        <v>4.4004384953340017</v>
      </c>
      <c r="E24" s="256">
        <v>4.5095824069200043</v>
      </c>
      <c r="F24" s="256">
        <v>4.4681028307616462</v>
      </c>
      <c r="G24" s="256">
        <v>4.4400680630276321</v>
      </c>
      <c r="H24" s="256">
        <v>4.3302226849733785</v>
      </c>
      <c r="I24" s="256">
        <v>4.0087033124276967</v>
      </c>
      <c r="J24" s="256">
        <v>3.5025456565622171</v>
      </c>
      <c r="L24" s="641">
        <v>2016</v>
      </c>
      <c r="M24" s="641"/>
      <c r="N24" s="641" t="s">
        <v>187</v>
      </c>
      <c r="O24" s="641" t="s">
        <v>154</v>
      </c>
      <c r="P24" s="641" t="s">
        <v>186</v>
      </c>
      <c r="Q24" s="641" t="s">
        <v>185</v>
      </c>
      <c r="R24" s="641" t="s">
        <v>99</v>
      </c>
      <c r="S24" s="246"/>
      <c r="T24" s="246"/>
    </row>
    <row r="25" spans="2:20" s="250" customFormat="1" x14ac:dyDescent="0.2">
      <c r="B25" s="260" t="s">
        <v>367</v>
      </c>
      <c r="C25" s="260" t="s">
        <v>933</v>
      </c>
      <c r="D25" s="253">
        <v>3.6496214726250802</v>
      </c>
      <c r="E25" s="256">
        <v>3.6703036155890496</v>
      </c>
      <c r="F25" s="256">
        <v>3.9234461640430505</v>
      </c>
      <c r="G25" s="256">
        <v>4.0602023293709113</v>
      </c>
      <c r="H25" s="256">
        <v>4.1574701479402272</v>
      </c>
      <c r="I25" s="256">
        <v>4.1763161294148716</v>
      </c>
      <c r="J25" s="256">
        <v>4.1798425401206538</v>
      </c>
      <c r="L25" s="436" t="s">
        <v>814</v>
      </c>
      <c r="M25" s="436" t="s">
        <v>940</v>
      </c>
      <c r="N25" s="642">
        <v>32.299999999999997</v>
      </c>
      <c r="O25" s="642">
        <v>34.299999999999997</v>
      </c>
      <c r="P25" s="642">
        <v>39.099999999999994</v>
      </c>
      <c r="Q25" s="642">
        <v>34.299999999999997</v>
      </c>
      <c r="R25" s="642">
        <v>39.700000000000003</v>
      </c>
    </row>
    <row r="26" spans="2:20" s="250" customFormat="1" x14ac:dyDescent="0.2">
      <c r="B26" s="259" t="s">
        <v>368</v>
      </c>
      <c r="C26" s="259" t="s">
        <v>934</v>
      </c>
      <c r="D26" s="253">
        <v>3.5558770579741141</v>
      </c>
      <c r="E26" s="253">
        <v>3.3315287814049563</v>
      </c>
      <c r="F26" s="253">
        <v>3.2710941787117012</v>
      </c>
      <c r="G26" s="253">
        <v>3.0348459582416005</v>
      </c>
      <c r="H26" s="253">
        <v>2.9979650348955249</v>
      </c>
      <c r="I26" s="253">
        <v>2.9379813704038149</v>
      </c>
      <c r="J26" s="253">
        <v>2.9357728981103453</v>
      </c>
      <c r="L26" s="436" t="s">
        <v>815</v>
      </c>
      <c r="M26" s="436" t="s">
        <v>945</v>
      </c>
      <c r="N26" s="643">
        <v>54.489164086687303</v>
      </c>
      <c r="O26" s="643">
        <v>53.935860058309039</v>
      </c>
      <c r="P26" s="643">
        <v>48.84910485933505</v>
      </c>
      <c r="Q26" s="644">
        <v>55.102040816326536</v>
      </c>
      <c r="R26" s="643">
        <v>58.438287153652389</v>
      </c>
      <c r="S26" s="246"/>
      <c r="T26" s="246"/>
    </row>
    <row r="27" spans="2:20" s="250" customFormat="1" x14ac:dyDescent="0.2">
      <c r="B27" s="259" t="s">
        <v>369</v>
      </c>
      <c r="C27" s="259" t="s">
        <v>935</v>
      </c>
      <c r="D27" s="253">
        <v>3.1130754672906744</v>
      </c>
      <c r="E27" s="253">
        <v>3.2982003359807868</v>
      </c>
      <c r="F27" s="253">
        <v>3.365798870133029</v>
      </c>
      <c r="G27" s="253">
        <v>3.5314569338719624</v>
      </c>
      <c r="H27" s="253">
        <v>3.5424855469491714</v>
      </c>
      <c r="I27" s="253">
        <v>3.5953339438282028</v>
      </c>
      <c r="J27" s="253">
        <v>3.6279185221667523</v>
      </c>
      <c r="L27" s="436" t="s">
        <v>816</v>
      </c>
      <c r="M27" s="436" t="s">
        <v>944</v>
      </c>
      <c r="N27" s="643">
        <v>30.959752321981426</v>
      </c>
      <c r="O27" s="643">
        <v>33.819241982507286</v>
      </c>
      <c r="P27" s="643">
        <v>41.432225063938624</v>
      </c>
      <c r="Q27" s="643">
        <v>33.236151603498548</v>
      </c>
      <c r="R27" s="643">
        <v>26.952141057934504</v>
      </c>
      <c r="S27" s="246"/>
      <c r="T27" s="246"/>
    </row>
    <row r="28" spans="2:20" s="250" customFormat="1" x14ac:dyDescent="0.2">
      <c r="B28" s="248" t="s">
        <v>181</v>
      </c>
      <c r="C28" s="259" t="s">
        <v>936</v>
      </c>
      <c r="D28" s="253">
        <v>2.6639758280705803</v>
      </c>
      <c r="E28" s="253">
        <v>2.6763390439422086</v>
      </c>
      <c r="F28" s="253">
        <v>2.6527580214200275</v>
      </c>
      <c r="G28" s="253">
        <v>2.5767644000391199</v>
      </c>
      <c r="H28" s="253">
        <v>2.5082641678274262</v>
      </c>
      <c r="I28" s="253">
        <v>2.4230760079693741</v>
      </c>
      <c r="J28" s="253">
        <v>2.338648214173916</v>
      </c>
      <c r="L28" s="436" t="s">
        <v>817</v>
      </c>
      <c r="M28" s="436" t="s">
        <v>943</v>
      </c>
      <c r="N28" s="643">
        <v>14.55108359133127</v>
      </c>
      <c r="O28" s="643">
        <v>12.244897959183675</v>
      </c>
      <c r="P28" s="643">
        <v>9.7186700767263456</v>
      </c>
      <c r="Q28" s="643">
        <v>11.661807580174928</v>
      </c>
      <c r="R28" s="643">
        <v>14.609571788413097</v>
      </c>
      <c r="S28" s="246"/>
      <c r="T28" s="246"/>
    </row>
    <row r="29" spans="2:20" s="250" customFormat="1" x14ac:dyDescent="0.2">
      <c r="B29" s="261" t="s">
        <v>370</v>
      </c>
      <c r="C29" s="261" t="s">
        <v>937</v>
      </c>
      <c r="D29" s="262">
        <v>27.62503914921616</v>
      </c>
      <c r="E29" s="262">
        <v>27.751364148996842</v>
      </c>
      <c r="F29" s="262">
        <v>28.547361453082974</v>
      </c>
      <c r="G29" s="262">
        <v>28.91188361061446</v>
      </c>
      <c r="H29" s="262">
        <v>28.522275395209256</v>
      </c>
      <c r="I29" s="262">
        <v>28.361441890986193</v>
      </c>
      <c r="J29" s="262">
        <v>28.233013881851399</v>
      </c>
      <c r="P29" s="246"/>
      <c r="Q29" s="246"/>
      <c r="R29" s="246"/>
      <c r="S29" s="246"/>
      <c r="T29" s="246"/>
    </row>
    <row r="30" spans="2:20" s="250" customFormat="1" x14ac:dyDescent="0.2">
      <c r="B30" s="261" t="s">
        <v>362</v>
      </c>
      <c r="C30" s="261" t="s">
        <v>938</v>
      </c>
      <c r="D30" s="262">
        <v>32.025477644550158</v>
      </c>
      <c r="E30" s="262">
        <v>32.260946555916838</v>
      </c>
      <c r="F30" s="262">
        <v>33.015464283844615</v>
      </c>
      <c r="G30" s="262">
        <v>33.351951673642091</v>
      </c>
      <c r="H30" s="262">
        <v>32.852498080182627</v>
      </c>
      <c r="I30" s="262">
        <v>32.370145203413884</v>
      </c>
      <c r="J30" s="262">
        <v>31.735559538413614</v>
      </c>
      <c r="P30" s="246"/>
      <c r="Q30" s="246"/>
      <c r="R30" s="246"/>
      <c r="S30" s="246"/>
      <c r="T30" s="246"/>
    </row>
    <row r="31" spans="2:20" s="250" customFormat="1" x14ac:dyDescent="0.2">
      <c r="B31" s="247" t="s">
        <v>321</v>
      </c>
      <c r="C31" s="247" t="s">
        <v>940</v>
      </c>
      <c r="D31" s="264">
        <v>32.025477644550165</v>
      </c>
      <c r="E31" s="264">
        <v>32.260946555916846</v>
      </c>
      <c r="F31" s="264">
        <v>33.015464283844622</v>
      </c>
      <c r="G31" s="264">
        <v>33.351951673642091</v>
      </c>
      <c r="H31" s="264">
        <v>32.852498080182635</v>
      </c>
      <c r="I31" s="264">
        <v>32.370145203413884</v>
      </c>
      <c r="J31" s="264">
        <v>31.735559538413611</v>
      </c>
      <c r="K31" s="265"/>
      <c r="P31" s="246"/>
      <c r="Q31" s="246"/>
      <c r="R31" s="246"/>
      <c r="S31" s="246"/>
      <c r="T31" s="246"/>
    </row>
    <row r="32" spans="2:20" x14ac:dyDescent="0.2">
      <c r="B32" s="263" t="s">
        <v>94</v>
      </c>
      <c r="C32" s="247" t="s">
        <v>939</v>
      </c>
      <c r="D32" s="266">
        <v>79138.241999999998</v>
      </c>
      <c r="E32" s="246">
        <v>81226.073000000004</v>
      </c>
      <c r="F32" s="246">
        <v>84850.873999999996</v>
      </c>
      <c r="G32" s="246">
        <v>90320.597411415132</v>
      </c>
      <c r="H32" s="246">
        <v>96737.218954959098</v>
      </c>
      <c r="I32" s="250">
        <v>103025.53414707213</v>
      </c>
      <c r="J32" s="250">
        <v>109100.16241588771</v>
      </c>
    </row>
    <row r="34" spans="2:12" x14ac:dyDescent="0.2">
      <c r="D34" s="267"/>
      <c r="E34" s="267"/>
      <c r="F34" s="267"/>
      <c r="G34" s="267"/>
      <c r="H34" s="267"/>
      <c r="I34" s="267"/>
    </row>
    <row r="35" spans="2:12" ht="13.5" thickBot="1" x14ac:dyDescent="0.25">
      <c r="B35" s="877" t="s">
        <v>1466</v>
      </c>
      <c r="C35" s="877"/>
      <c r="D35" s="877"/>
      <c r="E35" s="877"/>
      <c r="F35" s="877"/>
      <c r="G35" s="877"/>
      <c r="H35" s="877"/>
      <c r="I35" s="877"/>
      <c r="L35" s="244" t="s">
        <v>1467</v>
      </c>
    </row>
  </sheetData>
  <mergeCells count="4">
    <mergeCell ref="B3:I3"/>
    <mergeCell ref="B20:I20"/>
    <mergeCell ref="L20:Q20"/>
    <mergeCell ref="B35:I35"/>
  </mergeCells>
  <pageMargins left="0" right="0" top="0" bottom="0" header="0" footer="0"/>
  <pageSetup paperSize="8" scale="8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2:AN55"/>
  <sheetViews>
    <sheetView showGridLines="0" zoomScaleNormal="100" workbookViewId="0">
      <selection activeCell="W2" sqref="W2:AL2"/>
    </sheetView>
  </sheetViews>
  <sheetFormatPr defaultColWidth="9.140625" defaultRowHeight="12.75" x14ac:dyDescent="0.2"/>
  <cols>
    <col min="1" max="1" width="12.5703125" style="6" customWidth="1"/>
    <col min="2" max="2" width="21.42578125" style="6" customWidth="1"/>
    <col min="3" max="3" width="17.7109375" style="6" customWidth="1"/>
    <col min="4" max="8" width="9.140625" style="6"/>
    <col min="9" max="21" width="5.28515625" style="6" customWidth="1"/>
    <col min="22" max="22" width="9.140625" style="6"/>
    <col min="23" max="23" width="17.85546875" style="6" customWidth="1"/>
    <col min="24" max="16384" width="9.140625" style="6"/>
  </cols>
  <sheetData>
    <row r="2" spans="2:40" ht="15.75" customHeight="1" thickBot="1" x14ac:dyDescent="0.25">
      <c r="B2" s="268" t="s">
        <v>732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9"/>
      <c r="W2" s="879" t="s">
        <v>1471</v>
      </c>
      <c r="X2" s="879"/>
      <c r="Y2" s="879"/>
      <c r="Z2" s="879"/>
      <c r="AA2" s="879"/>
      <c r="AB2" s="879"/>
      <c r="AC2" s="879"/>
      <c r="AD2" s="879"/>
      <c r="AE2" s="879"/>
      <c r="AF2" s="879"/>
      <c r="AG2" s="879"/>
      <c r="AH2" s="879"/>
      <c r="AI2" s="879"/>
      <c r="AJ2" s="879"/>
      <c r="AK2" s="879"/>
      <c r="AL2" s="879"/>
      <c r="AM2" s="269"/>
      <c r="AN2" s="269"/>
    </row>
    <row r="20" spans="2:40" ht="15.75" customHeight="1" thickBot="1" x14ac:dyDescent="0.25">
      <c r="B20" s="879" t="s">
        <v>371</v>
      </c>
      <c r="C20" s="879"/>
      <c r="D20" s="879"/>
      <c r="E20" s="879"/>
      <c r="F20" s="879"/>
      <c r="G20" s="879"/>
      <c r="H20" s="879"/>
      <c r="I20" s="879"/>
      <c r="J20" s="879"/>
      <c r="K20" s="879"/>
      <c r="L20" s="879"/>
      <c r="M20" s="879"/>
      <c r="N20" s="879"/>
      <c r="O20" s="879"/>
      <c r="P20" s="879"/>
      <c r="Q20" s="879"/>
      <c r="R20" s="879"/>
      <c r="S20" s="879"/>
      <c r="T20" s="879"/>
      <c r="U20" s="526"/>
      <c r="W20" s="880" t="s">
        <v>372</v>
      </c>
      <c r="X20" s="880"/>
      <c r="Y20" s="880"/>
      <c r="Z20" s="880"/>
      <c r="AA20" s="880"/>
      <c r="AB20" s="880"/>
      <c r="AC20" s="880"/>
      <c r="AD20" s="880"/>
      <c r="AE20" s="880"/>
      <c r="AF20" s="880"/>
      <c r="AG20" s="880"/>
      <c r="AH20" s="880"/>
      <c r="AI20" s="880"/>
      <c r="AJ20" s="880"/>
      <c r="AK20" s="880"/>
      <c r="AL20" s="880"/>
      <c r="AM20" s="269"/>
      <c r="AN20" s="269"/>
    </row>
    <row r="21" spans="2:40" x14ac:dyDescent="0.2">
      <c r="B21" s="270"/>
      <c r="C21" s="270"/>
      <c r="D21" s="271">
        <v>2000</v>
      </c>
      <c r="E21" s="271">
        <v>2001</v>
      </c>
      <c r="F21" s="271">
        <v>2002</v>
      </c>
      <c r="G21" s="271">
        <v>2003</v>
      </c>
      <c r="H21" s="271">
        <v>2004</v>
      </c>
      <c r="I21" s="271">
        <v>2005</v>
      </c>
      <c r="J21" s="271">
        <v>2006</v>
      </c>
      <c r="K21" s="271">
        <v>2007</v>
      </c>
      <c r="L21" s="271">
        <v>2008</v>
      </c>
      <c r="M21" s="271">
        <v>2009</v>
      </c>
      <c r="N21" s="271">
        <v>2010</v>
      </c>
      <c r="O21" s="271">
        <v>2011</v>
      </c>
      <c r="P21" s="271">
        <v>2012</v>
      </c>
      <c r="Q21" s="271">
        <v>2013</v>
      </c>
      <c r="R21" s="271">
        <v>2014</v>
      </c>
      <c r="S21" s="271">
        <v>2015</v>
      </c>
      <c r="T21" s="271">
        <v>2016</v>
      </c>
      <c r="U21" s="271">
        <v>2017</v>
      </c>
      <c r="W21" s="136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</row>
    <row r="22" spans="2:40" x14ac:dyDescent="0.2">
      <c r="B22" s="22" t="s">
        <v>731</v>
      </c>
      <c r="C22" s="692" t="s">
        <v>946</v>
      </c>
      <c r="D22" s="504">
        <v>20.775559748625561</v>
      </c>
      <c r="E22" s="504">
        <v>18.187786430225263</v>
      </c>
      <c r="F22" s="504">
        <v>20.493409739518064</v>
      </c>
      <c r="G22" s="504">
        <v>15.755854037187575</v>
      </c>
      <c r="H22" s="504">
        <v>23.505997745706981</v>
      </c>
      <c r="I22" s="504">
        <v>21.512613425555564</v>
      </c>
      <c r="J22" s="504">
        <v>26.620713930615381</v>
      </c>
      <c r="K22" s="504">
        <v>31.445393334253612</v>
      </c>
      <c r="L22" s="504">
        <v>31.291388711534946</v>
      </c>
      <c r="M22" s="504">
        <v>34.885719420069556</v>
      </c>
      <c r="N22" s="504">
        <v>35.570030029159078</v>
      </c>
      <c r="O22" s="504">
        <v>38.170190959965581</v>
      </c>
      <c r="P22" s="504">
        <v>41.026340504407891</v>
      </c>
      <c r="Q22" s="504">
        <v>37.188997199389782</v>
      </c>
      <c r="R22" s="504">
        <v>32.297287388144731</v>
      </c>
      <c r="S22" s="504">
        <v>31.645083867662567</v>
      </c>
      <c r="T22" s="507">
        <v>28.33411862300737</v>
      </c>
      <c r="U22" s="507">
        <v>26.304068831915533</v>
      </c>
      <c r="W22" s="136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136"/>
    </row>
    <row r="23" spans="2:40" x14ac:dyDescent="0.2">
      <c r="B23" s="6" t="s">
        <v>730</v>
      </c>
      <c r="C23" s="693" t="s">
        <v>947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>
        <v>36.688121708601521</v>
      </c>
      <c r="Q23" s="505">
        <v>31.370543541788425</v>
      </c>
      <c r="R23" s="505">
        <v>30.601243953006218</v>
      </c>
      <c r="S23" s="505">
        <v>29.26670146137787</v>
      </c>
      <c r="T23" s="506">
        <v>25.671969281404277</v>
      </c>
      <c r="U23" s="506"/>
      <c r="W23" s="136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136"/>
    </row>
    <row r="24" spans="2:40" x14ac:dyDescent="0.2">
      <c r="W24" s="136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136"/>
    </row>
    <row r="25" spans="2:40" ht="13.5" thickBot="1" x14ac:dyDescent="0.25">
      <c r="B25" s="268" t="s">
        <v>1469</v>
      </c>
    </row>
    <row r="28" spans="2:40" x14ac:dyDescent="0.2">
      <c r="W28" s="6" t="s">
        <v>733</v>
      </c>
      <c r="X28" s="6" t="s">
        <v>734</v>
      </c>
      <c r="Y28" s="6">
        <v>1.4000000000000057</v>
      </c>
    </row>
    <row r="29" spans="2:40" x14ac:dyDescent="0.2">
      <c r="W29" s="6" t="s">
        <v>735</v>
      </c>
      <c r="X29" s="6" t="s">
        <v>736</v>
      </c>
      <c r="Y29" s="6">
        <v>1.0900000000000007</v>
      </c>
    </row>
    <row r="30" spans="2:40" x14ac:dyDescent="0.2">
      <c r="W30" s="6" t="s">
        <v>737</v>
      </c>
      <c r="X30" s="6" t="s">
        <v>738</v>
      </c>
      <c r="Y30" s="6">
        <v>0.63000000000000078</v>
      </c>
    </row>
    <row r="31" spans="2:40" x14ac:dyDescent="0.2">
      <c r="W31" s="6" t="s">
        <v>739</v>
      </c>
      <c r="X31" s="6" t="s">
        <v>740</v>
      </c>
      <c r="Y31" s="6">
        <v>0.54000000000000092</v>
      </c>
    </row>
    <row r="32" spans="2:40" x14ac:dyDescent="0.2">
      <c r="W32" s="6" t="s">
        <v>741</v>
      </c>
      <c r="X32" s="6" t="s">
        <v>742</v>
      </c>
      <c r="Y32" s="6">
        <v>0.45000000000000018</v>
      </c>
    </row>
    <row r="33" spans="23:25" x14ac:dyDescent="0.2">
      <c r="W33" s="6" t="s">
        <v>743</v>
      </c>
      <c r="X33" s="6" t="s">
        <v>744</v>
      </c>
      <c r="Y33" s="6">
        <v>0.33999999999999986</v>
      </c>
    </row>
    <row r="34" spans="23:25" x14ac:dyDescent="0.2">
      <c r="W34" s="6" t="s">
        <v>745</v>
      </c>
      <c r="X34" s="6" t="s">
        <v>746</v>
      </c>
      <c r="Y34" s="6">
        <v>-0.15000000000000213</v>
      </c>
    </row>
    <row r="35" spans="23:25" x14ac:dyDescent="0.2">
      <c r="W35" s="6" t="s">
        <v>747</v>
      </c>
      <c r="X35" s="6" t="s">
        <v>748</v>
      </c>
      <c r="Y35" s="6">
        <v>-0.20000000000000107</v>
      </c>
    </row>
    <row r="36" spans="23:25" x14ac:dyDescent="0.2">
      <c r="W36" s="6" t="s">
        <v>749</v>
      </c>
      <c r="X36" s="6" t="s">
        <v>750</v>
      </c>
      <c r="Y36" s="6">
        <v>-0.23000000000000043</v>
      </c>
    </row>
    <row r="37" spans="23:25" x14ac:dyDescent="0.2">
      <c r="W37" s="6" t="s">
        <v>751</v>
      </c>
      <c r="X37" s="6" t="s">
        <v>752</v>
      </c>
      <c r="Y37" s="6">
        <v>-0.70000000000000018</v>
      </c>
    </row>
    <row r="38" spans="23:25" x14ac:dyDescent="0.2">
      <c r="W38" s="6" t="s">
        <v>721</v>
      </c>
      <c r="X38" s="6" t="s">
        <v>753</v>
      </c>
      <c r="Y38" s="6">
        <v>-0.71</v>
      </c>
    </row>
    <row r="39" spans="23:25" x14ac:dyDescent="0.2">
      <c r="W39" s="6" t="s">
        <v>754</v>
      </c>
      <c r="X39" s="6" t="s">
        <v>755</v>
      </c>
      <c r="Y39" s="6">
        <v>-1.0500000000000007</v>
      </c>
    </row>
    <row r="40" spans="23:25" x14ac:dyDescent="0.2">
      <c r="W40" s="6" t="s">
        <v>756</v>
      </c>
      <c r="X40" s="6" t="s">
        <v>757</v>
      </c>
      <c r="Y40" s="6">
        <v>-1.0599999999999987</v>
      </c>
    </row>
    <row r="41" spans="23:25" x14ac:dyDescent="0.2">
      <c r="W41" s="6" t="s">
        <v>758</v>
      </c>
      <c r="X41" s="6" t="s">
        <v>759</v>
      </c>
      <c r="Y41" s="6">
        <v>-1.0899999999999999</v>
      </c>
    </row>
    <row r="42" spans="23:25" x14ac:dyDescent="0.2">
      <c r="W42" s="6" t="s">
        <v>760</v>
      </c>
      <c r="X42" s="6" t="s">
        <v>761</v>
      </c>
      <c r="Y42" s="6">
        <v>-1.3399999999999999</v>
      </c>
    </row>
    <row r="43" spans="23:25" x14ac:dyDescent="0.2">
      <c r="W43" s="6" t="s">
        <v>762</v>
      </c>
      <c r="X43" s="6" t="s">
        <v>763</v>
      </c>
      <c r="Y43" s="6">
        <v>-1.4299999999999997</v>
      </c>
    </row>
    <row r="44" spans="23:25" x14ac:dyDescent="0.2">
      <c r="W44" s="6" t="s">
        <v>149</v>
      </c>
      <c r="X44" s="6" t="s">
        <v>186</v>
      </c>
      <c r="Y44" s="6">
        <v>-2.0700000000000003</v>
      </c>
    </row>
    <row r="45" spans="23:25" x14ac:dyDescent="0.2">
      <c r="W45" s="6" t="s">
        <v>764</v>
      </c>
      <c r="X45" s="6" t="s">
        <v>765</v>
      </c>
      <c r="Y45" s="6">
        <v>-2.1899999999999995</v>
      </c>
    </row>
    <row r="46" spans="23:25" x14ac:dyDescent="0.2">
      <c r="W46" s="6" t="s">
        <v>766</v>
      </c>
      <c r="X46" s="6" t="s">
        <v>767</v>
      </c>
      <c r="Y46" s="6">
        <v>-2.4299999999999997</v>
      </c>
    </row>
    <row r="47" spans="23:25" x14ac:dyDescent="0.2">
      <c r="W47" s="6" t="s">
        <v>768</v>
      </c>
      <c r="X47" s="6" t="s">
        <v>769</v>
      </c>
      <c r="Y47" s="6">
        <v>-2.7200000000000006</v>
      </c>
    </row>
    <row r="48" spans="23:25" x14ac:dyDescent="0.2">
      <c r="W48" s="6" t="s">
        <v>148</v>
      </c>
      <c r="X48" s="6" t="s">
        <v>154</v>
      </c>
      <c r="Y48" s="6">
        <v>-2.7300000000000022</v>
      </c>
    </row>
    <row r="49" spans="23:25" x14ac:dyDescent="0.2">
      <c r="W49" s="6" t="s">
        <v>770</v>
      </c>
      <c r="X49" s="6" t="s">
        <v>771</v>
      </c>
      <c r="Y49" s="6">
        <v>-3.07</v>
      </c>
    </row>
    <row r="50" spans="23:25" x14ac:dyDescent="0.2">
      <c r="W50" s="6" t="s">
        <v>150</v>
      </c>
      <c r="X50" s="6" t="s">
        <v>185</v>
      </c>
      <c r="Y50" s="6">
        <v>-3.5</v>
      </c>
    </row>
    <row r="51" spans="23:25" x14ac:dyDescent="0.2">
      <c r="W51" s="6" t="s">
        <v>772</v>
      </c>
      <c r="X51" s="6" t="s">
        <v>187</v>
      </c>
      <c r="Y51" s="6">
        <v>-3.59</v>
      </c>
    </row>
    <row r="52" spans="23:25" x14ac:dyDescent="0.2">
      <c r="W52" s="6" t="s">
        <v>773</v>
      </c>
      <c r="X52" s="6" t="s">
        <v>774</v>
      </c>
      <c r="Y52" s="6">
        <v>-5.49</v>
      </c>
    </row>
    <row r="53" spans="23:25" x14ac:dyDescent="0.2">
      <c r="W53" s="6" t="s">
        <v>722</v>
      </c>
      <c r="X53" s="6" t="s">
        <v>775</v>
      </c>
      <c r="Y53" s="6">
        <v>-5.5499999999999989</v>
      </c>
    </row>
    <row r="54" spans="23:25" x14ac:dyDescent="0.2">
      <c r="W54" s="6" t="s">
        <v>776</v>
      </c>
      <c r="X54" s="6" t="s">
        <v>777</v>
      </c>
      <c r="Y54" s="6">
        <v>-5.9000000000000021</v>
      </c>
    </row>
    <row r="55" spans="23:25" x14ac:dyDescent="0.2">
      <c r="W55" s="6" t="s">
        <v>778</v>
      </c>
      <c r="X55" s="6" t="s">
        <v>779</v>
      </c>
      <c r="Y55" s="6">
        <v>-7.1100000000000012</v>
      </c>
    </row>
  </sheetData>
  <mergeCells count="3">
    <mergeCell ref="W2:AL2"/>
    <mergeCell ref="B20:T20"/>
    <mergeCell ref="W20:AL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2:L41"/>
  <sheetViews>
    <sheetView showGridLines="0" zoomScaleNormal="100" workbookViewId="0">
      <selection activeCell="B41" sqref="B41"/>
    </sheetView>
  </sheetViews>
  <sheetFormatPr defaultColWidth="8.85546875" defaultRowHeight="12.75" x14ac:dyDescent="0.2"/>
  <cols>
    <col min="1" max="1" width="8.85546875" style="6"/>
    <col min="2" max="2" width="8.85546875" style="6" customWidth="1"/>
    <col min="3" max="3" width="74.28515625" style="6" bestFit="1" customWidth="1"/>
    <col min="4" max="4" width="9.42578125" style="6" customWidth="1"/>
    <col min="5" max="6" width="34.42578125" style="6" customWidth="1"/>
    <col min="7" max="11" width="10.7109375" style="6" customWidth="1"/>
    <col min="12" max="14" width="9.42578125" style="6" bestFit="1" customWidth="1"/>
    <col min="15" max="16384" width="8.85546875" style="6"/>
  </cols>
  <sheetData>
    <row r="2" spans="2:12" ht="13.5" thickBot="1" x14ac:dyDescent="0.25">
      <c r="B2" s="57"/>
    </row>
    <row r="4" spans="2:12" x14ac:dyDescent="0.2">
      <c r="B4" s="127" t="s">
        <v>170</v>
      </c>
    </row>
    <row r="6" spans="2:12" ht="13.5" thickBot="1" x14ac:dyDescent="0.25">
      <c r="E6" s="128" t="s">
        <v>204</v>
      </c>
      <c r="F6" s="128" t="s">
        <v>1197</v>
      </c>
      <c r="G6" s="57"/>
      <c r="H6" s="57"/>
      <c r="I6" s="57"/>
      <c r="J6" s="57"/>
      <c r="K6" s="57"/>
      <c r="L6" s="57"/>
    </row>
    <row r="7" spans="2:12" x14ac:dyDescent="0.2">
      <c r="E7" s="11"/>
      <c r="F7" s="11"/>
    </row>
    <row r="8" spans="2:12" x14ac:dyDescent="0.2">
      <c r="E8" s="130" t="s">
        <v>205</v>
      </c>
      <c r="F8" s="130" t="s">
        <v>1340</v>
      </c>
    </row>
    <row r="9" spans="2:12" x14ac:dyDescent="0.2">
      <c r="E9" s="20"/>
      <c r="F9" s="20"/>
      <c r="G9" s="131">
        <v>2016</v>
      </c>
      <c r="H9" s="131">
        <v>2017</v>
      </c>
      <c r="I9" s="131">
        <v>2018</v>
      </c>
      <c r="J9" s="131">
        <v>2019</v>
      </c>
      <c r="K9" s="131">
        <v>2020</v>
      </c>
      <c r="L9" s="131">
        <v>2021</v>
      </c>
    </row>
    <row r="10" spans="2:12" x14ac:dyDescent="0.2">
      <c r="E10" s="11" t="s">
        <v>5</v>
      </c>
      <c r="F10" s="11" t="s">
        <v>1186</v>
      </c>
      <c r="G10" s="7">
        <f>'Tabuľka 4'!F9</f>
        <v>-2.1009864074983864</v>
      </c>
      <c r="H10" s="7">
        <f>'Tabuľka 4'!G9</f>
        <v>-0.83153846998002012</v>
      </c>
      <c r="I10" s="7">
        <f>'Tabuľka 4'!H9</f>
        <v>-0.81748292666450073</v>
      </c>
      <c r="J10" s="7">
        <f>'Tabuľka 4'!I9</f>
        <v>-0.57470191992028918</v>
      </c>
      <c r="K10" s="7">
        <f>'Tabuľka 4'!J9</f>
        <v>-0.50392028055833749</v>
      </c>
      <c r="L10" s="7">
        <f>'Tabuľka 4'!K9</f>
        <v>-0.285663740111401</v>
      </c>
    </row>
    <row r="11" spans="2:12" x14ac:dyDescent="0.2">
      <c r="E11" s="11" t="s">
        <v>158</v>
      </c>
      <c r="F11" s="11" t="s">
        <v>1342</v>
      </c>
      <c r="G11" s="132">
        <f>'Tabuľka 4'!F6</f>
        <v>-2.2218395317473987</v>
      </c>
      <c r="H11" s="132">
        <f>'Tabuľka 4'!G6</f>
        <v>-0.7770491556751673</v>
      </c>
      <c r="I11" s="132">
        <f>'Tabuľka 4'!H6</f>
        <v>-0.6</v>
      </c>
      <c r="J11" s="132">
        <f>'Tabuľka 4'!I6</f>
        <v>-0.1</v>
      </c>
      <c r="K11" s="132">
        <f>'Tabuľka 4'!J6</f>
        <v>0</v>
      </c>
      <c r="L11" s="132">
        <f>'Tabuľka 4'!K6</f>
        <v>0.2</v>
      </c>
    </row>
    <row r="12" spans="2:12" x14ac:dyDescent="0.2">
      <c r="E12" s="11" t="s">
        <v>8</v>
      </c>
      <c r="F12" s="11" t="s">
        <v>1343</v>
      </c>
      <c r="G12" s="7">
        <f>'Tabuľka 4'!F10</f>
        <v>0.2362822651505998</v>
      </c>
      <c r="H12" s="7">
        <f>'Tabuľka 4'!G10</f>
        <v>1.2694479375183663</v>
      </c>
      <c r="I12" s="7">
        <f>'Tabuľka 4'!H10</f>
        <v>1.4055543315519392E-2</v>
      </c>
      <c r="J12" s="7">
        <f>'Tabuľka 4'!I10</f>
        <v>0.24278100674421155</v>
      </c>
      <c r="K12" s="7">
        <f>'Tabuľka 4'!J10</f>
        <v>7.0781639361951698E-2</v>
      </c>
      <c r="L12" s="7">
        <f>'Tabuľka 4'!K10</f>
        <v>0.21825654044693649</v>
      </c>
    </row>
    <row r="13" spans="2:12" x14ac:dyDescent="0.2">
      <c r="E13" s="11"/>
      <c r="F13" s="11"/>
    </row>
    <row r="14" spans="2:12" x14ac:dyDescent="0.2">
      <c r="E14" s="11"/>
      <c r="F14" s="11"/>
    </row>
    <row r="15" spans="2:12" x14ac:dyDescent="0.2">
      <c r="E15" s="11"/>
      <c r="F15" s="11"/>
    </row>
    <row r="16" spans="2:12" x14ac:dyDescent="0.2">
      <c r="E16" s="130" t="s">
        <v>206</v>
      </c>
      <c r="F16" s="130" t="s">
        <v>1341</v>
      </c>
    </row>
    <row r="17" spans="2:12" x14ac:dyDescent="0.2">
      <c r="E17" s="20"/>
      <c r="F17" s="20"/>
      <c r="G17" s="131">
        <v>2016</v>
      </c>
      <c r="H17" s="131">
        <v>2017</v>
      </c>
      <c r="I17" s="131">
        <v>2018</v>
      </c>
      <c r="J17" s="131">
        <v>2019</v>
      </c>
      <c r="K17" s="131">
        <v>2020</v>
      </c>
      <c r="L17" s="131">
        <v>2021</v>
      </c>
    </row>
    <row r="18" spans="2:12" x14ac:dyDescent="0.2">
      <c r="E18" s="11" t="s">
        <v>176</v>
      </c>
      <c r="F18" s="11" t="s">
        <v>1246</v>
      </c>
      <c r="G18" s="7">
        <f>'Graf 21'!Q6</f>
        <v>51.772784829816899</v>
      </c>
      <c r="H18" s="7">
        <f>'Graf 21'!R6</f>
        <v>50.947662603557362</v>
      </c>
      <c r="I18" s="7">
        <f>'Graf 21'!S6</f>
        <v>48.679657950939628</v>
      </c>
      <c r="J18" s="7">
        <f>'Graf 21'!T6</f>
        <v>47.261309400574113</v>
      </c>
      <c r="K18" s="7">
        <f>'Graf 21'!U6</f>
        <v>45.989684811323947</v>
      </c>
      <c r="L18" s="7">
        <f>'Graf 21'!V6</f>
        <v>44.815110238301905</v>
      </c>
    </row>
    <row r="19" spans="2:12" x14ac:dyDescent="0.2">
      <c r="E19" s="11" t="s">
        <v>177</v>
      </c>
      <c r="F19" s="11" t="s">
        <v>1344</v>
      </c>
      <c r="G19" s="7">
        <f t="shared" ref="G19:K19" si="0">G18-G20</f>
        <v>48.645907214378106</v>
      </c>
      <c r="H19" s="7">
        <f t="shared" si="0"/>
        <v>47.954364155580294</v>
      </c>
      <c r="I19" s="7">
        <f t="shared" si="0"/>
        <v>45.867630609083299</v>
      </c>
      <c r="J19" s="7">
        <f t="shared" si="0"/>
        <v>44.63580504767399</v>
      </c>
      <c r="K19" s="7">
        <f t="shared" si="0"/>
        <v>43.524431982921939</v>
      </c>
      <c r="L19" s="7">
        <f t="shared" ref="L19" si="1">L18-L20</f>
        <v>42.48712113334058</v>
      </c>
    </row>
    <row r="20" spans="2:12" x14ac:dyDescent="0.2">
      <c r="E20" s="11" t="s">
        <v>178</v>
      </c>
      <c r="F20" s="11" t="s">
        <v>1345</v>
      </c>
      <c r="G20" s="7">
        <f>'Tabuľka 8'!C8+'Tabuľka 8'!C9</f>
        <v>3.1268776154387958</v>
      </c>
      <c r="H20" s="7">
        <f>'Tabuľka 8'!D8+'Tabuľka 8'!D9</f>
        <v>2.9932984479770659</v>
      </c>
      <c r="I20" s="7">
        <f>'Tabuľka 8'!E8+'Tabuľka 8'!E9</f>
        <v>2.8120273418563317</v>
      </c>
      <c r="J20" s="7">
        <f>'Tabuľka 8'!F8+'Tabuľka 8'!F9</f>
        <v>2.625504352900125</v>
      </c>
      <c r="K20" s="7">
        <f>'Tabuľka 8'!G8+'Tabuľka 8'!G9</f>
        <v>2.4652528284020114</v>
      </c>
      <c r="L20" s="7">
        <f>'Tabuľka 8'!H8+'Tabuľka 8'!H9</f>
        <v>2.3279891049613251</v>
      </c>
    </row>
    <row r="21" spans="2:12" x14ac:dyDescent="0.2">
      <c r="E21" s="11" t="s">
        <v>179</v>
      </c>
      <c r="F21" s="11" t="s">
        <v>1346</v>
      </c>
      <c r="G21" s="7">
        <f>'Graf 21'!Q7</f>
        <v>46.888509555300054</v>
      </c>
      <c r="H21" s="7">
        <f>'Graf 21'!R7</f>
        <v>45.575937143558477</v>
      </c>
      <c r="I21" s="7">
        <f>'Graf 21'!S7</f>
        <v>43.393033307834287</v>
      </c>
      <c r="J21" s="7">
        <f>'Graf 21'!T7</f>
        <v>41.711231606274715</v>
      </c>
      <c r="K21" s="7">
        <f>'Graf 21'!U7</f>
        <v>40.052108160419579</v>
      </c>
      <c r="L21" s="7">
        <f>'Graf 21'!V7</f>
        <v>38.542184262099305</v>
      </c>
    </row>
    <row r="22" spans="2:12" x14ac:dyDescent="0.2">
      <c r="E22" s="11" t="s">
        <v>1347</v>
      </c>
      <c r="F22" s="11" t="s">
        <v>1348</v>
      </c>
      <c r="G22" s="132"/>
      <c r="H22" s="132"/>
      <c r="I22" s="132"/>
      <c r="J22" s="132"/>
      <c r="K22" s="132"/>
      <c r="L22" s="132"/>
    </row>
    <row r="23" spans="2:12" x14ac:dyDescent="0.2">
      <c r="E23" s="11" t="s">
        <v>308</v>
      </c>
      <c r="F23" s="11" t="s">
        <v>308</v>
      </c>
      <c r="G23" s="7">
        <v>50</v>
      </c>
      <c r="H23" s="7">
        <f t="shared" ref="H23" si="2">G23</f>
        <v>50</v>
      </c>
      <c r="I23" s="7">
        <f>H23-1</f>
        <v>49</v>
      </c>
      <c r="J23" s="7">
        <f>I23-1</f>
        <v>48</v>
      </c>
      <c r="K23" s="7">
        <f>J23-1</f>
        <v>47</v>
      </c>
      <c r="L23" s="7">
        <f>K23-1</f>
        <v>46</v>
      </c>
    </row>
    <row r="24" spans="2:12" x14ac:dyDescent="0.2">
      <c r="B24" s="127" t="s">
        <v>171</v>
      </c>
      <c r="E24" s="11" t="s">
        <v>197</v>
      </c>
      <c r="F24" s="11" t="s">
        <v>197</v>
      </c>
      <c r="G24" s="7">
        <v>53</v>
      </c>
      <c r="H24" s="7">
        <f t="shared" ref="H24" si="3">H23+3</f>
        <v>53</v>
      </c>
      <c r="I24" s="7">
        <f>I23+3</f>
        <v>52</v>
      </c>
      <c r="J24" s="7">
        <f>J23+3</f>
        <v>51</v>
      </c>
      <c r="K24" s="7">
        <f>K23+3</f>
        <v>50</v>
      </c>
      <c r="L24" s="7">
        <f>L23+3</f>
        <v>49</v>
      </c>
    </row>
    <row r="25" spans="2:12" x14ac:dyDescent="0.2">
      <c r="E25" s="11" t="s">
        <v>198</v>
      </c>
      <c r="F25" s="11" t="s">
        <v>198</v>
      </c>
      <c r="G25" s="7">
        <v>55</v>
      </c>
      <c r="H25" s="7">
        <f t="shared" ref="H25:H26" si="4">H24+2</f>
        <v>55</v>
      </c>
      <c r="I25" s="7">
        <f>I24+2</f>
        <v>54</v>
      </c>
      <c r="J25" s="7">
        <f>J24+2</f>
        <v>53</v>
      </c>
      <c r="K25" s="7">
        <f t="shared" ref="K25:L25" si="5">K24+2</f>
        <v>52</v>
      </c>
      <c r="L25" s="7">
        <f t="shared" si="5"/>
        <v>51</v>
      </c>
    </row>
    <row r="26" spans="2:12" x14ac:dyDescent="0.2">
      <c r="E26" s="11" t="s">
        <v>199</v>
      </c>
      <c r="F26" s="11" t="s">
        <v>199</v>
      </c>
      <c r="G26" s="7">
        <v>57</v>
      </c>
      <c r="H26" s="7">
        <f t="shared" si="4"/>
        <v>57</v>
      </c>
      <c r="I26" s="7">
        <f>I25+2</f>
        <v>56</v>
      </c>
      <c r="J26" s="7">
        <f>J25+2</f>
        <v>55</v>
      </c>
      <c r="K26" s="7">
        <f>K25+2</f>
        <v>54</v>
      </c>
      <c r="L26" s="7">
        <f>L25+2</f>
        <v>53</v>
      </c>
    </row>
    <row r="36" spans="2:11" x14ac:dyDescent="0.2">
      <c r="G36" s="132"/>
      <c r="H36" s="132"/>
      <c r="I36" s="132"/>
      <c r="J36" s="132"/>
      <c r="K36" s="132"/>
    </row>
    <row r="37" spans="2:11" x14ac:dyDescent="0.2">
      <c r="G37" s="132"/>
      <c r="H37" s="132"/>
      <c r="I37" s="132"/>
      <c r="J37" s="132"/>
      <c r="K37" s="132"/>
    </row>
    <row r="41" spans="2:11" x14ac:dyDescent="0.2">
      <c r="B41" s="127" t="s">
        <v>1349</v>
      </c>
      <c r="D41" s="127" t="s">
        <v>1350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B3:AB25"/>
  <sheetViews>
    <sheetView showGridLines="0" zoomScaleNormal="100" workbookViewId="0">
      <selection activeCell="R25" sqref="R25:AB25"/>
    </sheetView>
  </sheetViews>
  <sheetFormatPr defaultColWidth="9.140625" defaultRowHeight="12.75" x14ac:dyDescent="0.2"/>
  <cols>
    <col min="1" max="1" width="17" style="6" customWidth="1"/>
    <col min="2" max="3" width="9.140625" style="6" customWidth="1"/>
    <col min="4" max="17" width="9.140625" style="6"/>
    <col min="18" max="18" width="17" style="6" customWidth="1"/>
    <col min="19" max="16384" width="9.140625" style="6"/>
  </cols>
  <sheetData>
    <row r="3" spans="2:28" ht="15.75" customHeight="1" thickBot="1" x14ac:dyDescent="0.25">
      <c r="B3" s="879" t="s">
        <v>780</v>
      </c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645"/>
      <c r="Q3" s="11"/>
      <c r="R3" s="879" t="s">
        <v>784</v>
      </c>
      <c r="S3" s="879"/>
      <c r="T3" s="879"/>
      <c r="U3" s="879"/>
      <c r="V3" s="879"/>
      <c r="W3" s="879"/>
      <c r="X3" s="879"/>
      <c r="Y3" s="879"/>
      <c r="Z3" s="879"/>
      <c r="AA3" s="879"/>
      <c r="AB3" s="879"/>
    </row>
    <row r="18" spans="2:28" ht="15.75" customHeight="1" thickBot="1" x14ac:dyDescent="0.25">
      <c r="B18" s="881" t="s">
        <v>373</v>
      </c>
      <c r="C18" s="881"/>
      <c r="D18" s="881"/>
      <c r="E18" s="881"/>
      <c r="F18" s="881"/>
      <c r="G18" s="881"/>
      <c r="H18" s="881"/>
      <c r="I18" s="881"/>
      <c r="J18" s="881"/>
      <c r="K18" s="881"/>
      <c r="L18" s="881"/>
      <c r="M18" s="881"/>
      <c r="N18" s="881"/>
      <c r="O18" s="881"/>
      <c r="P18" s="645"/>
      <c r="R18" s="881"/>
      <c r="S18" s="881"/>
      <c r="T18" s="881"/>
      <c r="U18" s="881"/>
      <c r="V18" s="881"/>
      <c r="W18" s="881"/>
      <c r="X18" s="881"/>
      <c r="Y18" s="881"/>
      <c r="Z18" s="881"/>
      <c r="AA18" s="881"/>
      <c r="AB18" s="881"/>
    </row>
    <row r="19" spans="2:28" x14ac:dyDescent="0.2">
      <c r="B19" s="16"/>
      <c r="C19" s="16"/>
      <c r="D19" s="646">
        <v>2004</v>
      </c>
      <c r="E19" s="646">
        <v>2005</v>
      </c>
      <c r="F19" s="646">
        <v>2006</v>
      </c>
      <c r="G19" s="646">
        <v>2007</v>
      </c>
      <c r="H19" s="646">
        <v>2008</v>
      </c>
      <c r="I19" s="646">
        <v>2009</v>
      </c>
      <c r="J19" s="646">
        <v>2010</v>
      </c>
      <c r="K19" s="646">
        <v>2011</v>
      </c>
      <c r="L19" s="646">
        <v>2012</v>
      </c>
      <c r="M19" s="646">
        <v>2013</v>
      </c>
      <c r="N19" s="646">
        <v>2014</v>
      </c>
      <c r="O19" s="646">
        <v>2015</v>
      </c>
      <c r="P19" s="646" t="s">
        <v>374</v>
      </c>
      <c r="R19" s="647" t="s">
        <v>783</v>
      </c>
      <c r="S19" s="648">
        <v>2008</v>
      </c>
      <c r="T19" s="648">
        <v>2009</v>
      </c>
      <c r="U19" s="648">
        <v>2010</v>
      </c>
      <c r="V19" s="648">
        <v>2011</v>
      </c>
      <c r="W19" s="648">
        <v>2012</v>
      </c>
      <c r="X19" s="648">
        <v>2013</v>
      </c>
      <c r="Y19" s="648">
        <v>2014</v>
      </c>
      <c r="Z19" s="648">
        <v>2015</v>
      </c>
      <c r="AA19" s="648">
        <v>2016</v>
      </c>
      <c r="AB19" s="648">
        <v>2017</v>
      </c>
    </row>
    <row r="20" spans="2:28" x14ac:dyDescent="0.2">
      <c r="B20" s="16" t="s">
        <v>375</v>
      </c>
      <c r="C20" s="16" t="s">
        <v>948</v>
      </c>
      <c r="D20" s="18">
        <v>0.15636700167552464</v>
      </c>
      <c r="E20" s="18">
        <v>0.18185088010584405</v>
      </c>
      <c r="F20" s="18">
        <v>0.16314213240717088</v>
      </c>
      <c r="G20" s="18">
        <v>0.15544262748161669</v>
      </c>
      <c r="H20" s="18">
        <v>0.1625550313449505</v>
      </c>
      <c r="I20" s="18">
        <v>0.17872918712190775</v>
      </c>
      <c r="J20" s="18">
        <v>0.15489714279499525</v>
      </c>
      <c r="K20" s="18">
        <v>0.15204230933700935</v>
      </c>
      <c r="L20" s="18">
        <v>0.14776183997190348</v>
      </c>
      <c r="M20" s="18">
        <v>0.18562693572535433</v>
      </c>
      <c r="N20" s="18">
        <v>0.21646480900918486</v>
      </c>
      <c r="O20" s="18">
        <v>0.24981280775866871</v>
      </c>
      <c r="P20" s="649">
        <v>0.23719501808109114</v>
      </c>
      <c r="R20" s="567" t="s">
        <v>782</v>
      </c>
      <c r="S20" s="650">
        <v>1.9513665599533137E-3</v>
      </c>
      <c r="T20" s="650">
        <v>0.10947765430899946</v>
      </c>
      <c r="U20" s="650">
        <v>5.2366713275848374E-2</v>
      </c>
      <c r="V20" s="650">
        <v>2.3853528927328369E-2</v>
      </c>
      <c r="W20" s="650">
        <v>9.5408032849693708E-2</v>
      </c>
      <c r="X20" s="650">
        <v>0.11165289040451574</v>
      </c>
      <c r="Y20" s="650">
        <v>0.13800766857240074</v>
      </c>
      <c r="Z20" s="650">
        <v>0.13258102895910281</v>
      </c>
      <c r="AA20" s="650">
        <v>0.12641800063198455</v>
      </c>
      <c r="AB20" s="650">
        <v>0.1366650382498493</v>
      </c>
    </row>
    <row r="21" spans="2:28" x14ac:dyDescent="0.2">
      <c r="B21" s="16" t="s">
        <v>376</v>
      </c>
      <c r="C21" s="16" t="s">
        <v>949</v>
      </c>
      <c r="D21" s="17">
        <v>6.8258481393979775E-2</v>
      </c>
      <c r="E21" s="17">
        <v>7.559472963652937E-2</v>
      </c>
      <c r="F21" s="17">
        <v>7.7162545990770381E-2</v>
      </c>
      <c r="G21" s="17">
        <v>7.940330943330233E-2</v>
      </c>
      <c r="H21" s="17">
        <v>8.2879443669046593E-2</v>
      </c>
      <c r="I21" s="17">
        <v>7.2883714123905444E-2</v>
      </c>
      <c r="J21" s="17">
        <v>6.8963986642376213E-2</v>
      </c>
      <c r="K21" s="17">
        <v>6.6374975420119497E-2</v>
      </c>
      <c r="L21" s="17">
        <v>6.4387421230077888E-2</v>
      </c>
      <c r="M21" s="17">
        <v>7.7714168172012835E-2</v>
      </c>
      <c r="N21" s="17">
        <v>8.8991552614594516E-2</v>
      </c>
      <c r="O21" s="17">
        <v>0.10358921771935213</v>
      </c>
      <c r="P21" s="651">
        <v>9.8303672024397756E-2</v>
      </c>
      <c r="R21" s="16" t="s">
        <v>781</v>
      </c>
      <c r="S21" s="652">
        <v>6.7269503286172289E-2</v>
      </c>
      <c r="T21" s="652">
        <v>5.6255867050983469E-2</v>
      </c>
      <c r="U21" s="652">
        <v>5.6232300286665669E-2</v>
      </c>
      <c r="V21" s="652">
        <v>5.7654621493258146E-2</v>
      </c>
      <c r="W21" s="652">
        <v>5.889199280658941E-2</v>
      </c>
      <c r="X21" s="652">
        <v>6.3986916348353587E-2</v>
      </c>
      <c r="Y21" s="652">
        <v>5.0283642484269531E-2</v>
      </c>
      <c r="Z21" s="652">
        <v>4.3512010743133489E-2</v>
      </c>
      <c r="AA21" s="652">
        <v>3.9578378610881232E-2</v>
      </c>
      <c r="AB21" s="652">
        <v>3.1149656674190646E-2</v>
      </c>
    </row>
    <row r="25" spans="2:28" ht="13.5" thickBot="1" x14ac:dyDescent="0.25">
      <c r="B25" s="879" t="s">
        <v>1472</v>
      </c>
      <c r="C25" s="879"/>
      <c r="D25" s="879"/>
      <c r="E25" s="879"/>
      <c r="F25" s="879"/>
      <c r="G25" s="879"/>
      <c r="H25" s="879"/>
      <c r="I25" s="879"/>
      <c r="J25" s="879"/>
      <c r="K25" s="879"/>
      <c r="L25" s="879"/>
      <c r="M25" s="879"/>
      <c r="N25" s="879"/>
      <c r="O25" s="879"/>
      <c r="R25" s="879" t="s">
        <v>1473</v>
      </c>
      <c r="S25" s="879"/>
      <c r="T25" s="879"/>
      <c r="U25" s="879"/>
      <c r="V25" s="879"/>
      <c r="W25" s="879"/>
      <c r="X25" s="879"/>
      <c r="Y25" s="879"/>
      <c r="Z25" s="879"/>
      <c r="AA25" s="879"/>
      <c r="AB25" s="879"/>
    </row>
  </sheetData>
  <mergeCells count="6">
    <mergeCell ref="B3:O3"/>
    <mergeCell ref="R3:AB3"/>
    <mergeCell ref="B18:O18"/>
    <mergeCell ref="R18:AB18"/>
    <mergeCell ref="B25:O25"/>
    <mergeCell ref="R25:AB25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B2:Z62"/>
  <sheetViews>
    <sheetView showGridLines="0" zoomScaleNormal="100" workbookViewId="0">
      <selection activeCell="M39" sqref="M39"/>
    </sheetView>
  </sheetViews>
  <sheetFormatPr defaultColWidth="9.140625" defaultRowHeight="12.75" x14ac:dyDescent="0.2"/>
  <cols>
    <col min="1" max="9" width="9.140625" style="221"/>
    <col min="10" max="10" width="20.42578125" style="221" customWidth="1"/>
    <col min="11" max="12" width="0" style="221" hidden="1" customWidth="1"/>
    <col min="13" max="16" width="10.7109375" style="221" bestFit="1" customWidth="1"/>
    <col min="17" max="21" width="9.140625" style="221"/>
    <col min="22" max="22" width="9.42578125" style="221" bestFit="1" customWidth="1"/>
    <col min="23" max="26" width="6" style="221" customWidth="1"/>
    <col min="27" max="16384" width="9.140625" style="221"/>
  </cols>
  <sheetData>
    <row r="2" spans="2:26" x14ac:dyDescent="0.2">
      <c r="B2" s="6"/>
    </row>
    <row r="3" spans="2:26" x14ac:dyDescent="0.2">
      <c r="B3" s="6"/>
    </row>
    <row r="4" spans="2:26" ht="13.5" thickBot="1" x14ac:dyDescent="0.25">
      <c r="B4" s="60" t="s">
        <v>692</v>
      </c>
      <c r="J4" s="223" t="s">
        <v>1093</v>
      </c>
      <c r="K4" s="224"/>
      <c r="L4" s="224"/>
      <c r="M4" s="224"/>
      <c r="N4" s="224"/>
      <c r="O4" s="224"/>
      <c r="P4" s="224"/>
      <c r="Q4" s="224"/>
      <c r="R4" s="224"/>
      <c r="S4" s="224"/>
      <c r="T4" s="224"/>
    </row>
    <row r="6" spans="2:26" x14ac:dyDescent="0.2">
      <c r="J6" s="274" t="s">
        <v>1091</v>
      </c>
      <c r="K6" s="275"/>
      <c r="L6" s="276" t="s">
        <v>193</v>
      </c>
      <c r="M6" s="277"/>
      <c r="N6" s="277"/>
      <c r="O6" s="277"/>
      <c r="P6" s="277"/>
      <c r="Q6" s="277"/>
      <c r="R6" s="277"/>
      <c r="S6" s="277"/>
      <c r="T6" s="277"/>
    </row>
    <row r="8" spans="2:26" x14ac:dyDescent="0.2">
      <c r="J8" s="278" t="s">
        <v>138</v>
      </c>
      <c r="K8" s="404">
        <v>2006</v>
      </c>
      <c r="L8" s="404" t="s">
        <v>139</v>
      </c>
      <c r="M8" s="404" t="s">
        <v>140</v>
      </c>
      <c r="N8" s="404" t="s">
        <v>141</v>
      </c>
      <c r="O8" s="404" t="s">
        <v>142</v>
      </c>
      <c r="P8" s="404" t="s">
        <v>143</v>
      </c>
      <c r="Q8" s="404" t="s">
        <v>144</v>
      </c>
      <c r="R8" s="404" t="s">
        <v>145</v>
      </c>
      <c r="S8" s="404" t="s">
        <v>146</v>
      </c>
      <c r="T8" s="404" t="s">
        <v>147</v>
      </c>
      <c r="U8" s="404" t="s">
        <v>311</v>
      </c>
      <c r="V8" s="404" t="s">
        <v>312</v>
      </c>
      <c r="W8" s="404" t="s">
        <v>313</v>
      </c>
      <c r="X8" s="404" t="s">
        <v>314</v>
      </c>
      <c r="Y8" s="404" t="s">
        <v>315</v>
      </c>
      <c r="Z8" s="404">
        <v>2021</v>
      </c>
    </row>
    <row r="9" spans="2:26" x14ac:dyDescent="0.2">
      <c r="J9" s="275" t="s">
        <v>195</v>
      </c>
      <c r="K9" s="405">
        <v>46</v>
      </c>
      <c r="L9" s="406">
        <v>45.3</v>
      </c>
      <c r="M9" s="406">
        <v>46.6</v>
      </c>
      <c r="N9" s="406">
        <v>50.7</v>
      </c>
      <c r="O9" s="406">
        <v>50.6</v>
      </c>
      <c r="P9" s="406">
        <v>49.2</v>
      </c>
      <c r="Q9" s="406">
        <v>49.8</v>
      </c>
      <c r="R9" s="406">
        <v>49.8</v>
      </c>
      <c r="S9" s="406">
        <v>49.2</v>
      </c>
      <c r="T9" s="406">
        <v>48.3</v>
      </c>
      <c r="U9" s="407">
        <v>47.6</v>
      </c>
      <c r="V9" s="407">
        <v>47.1</v>
      </c>
      <c r="W9" s="407"/>
      <c r="X9" s="407"/>
      <c r="Y9" s="407"/>
      <c r="Z9" s="407"/>
    </row>
    <row r="10" spans="2:26" x14ac:dyDescent="0.2">
      <c r="J10" s="275" t="s">
        <v>148</v>
      </c>
      <c r="K10" s="408">
        <v>40.799999999999997</v>
      </c>
      <c r="L10" s="406">
        <v>40</v>
      </c>
      <c r="M10" s="406">
        <v>40.6</v>
      </c>
      <c r="N10" s="406">
        <v>44.2</v>
      </c>
      <c r="O10" s="406">
        <v>43.5</v>
      </c>
      <c r="P10" s="406">
        <v>43</v>
      </c>
      <c r="Q10" s="406">
        <v>44.5</v>
      </c>
      <c r="R10" s="406">
        <v>42.6</v>
      </c>
      <c r="S10" s="406">
        <v>42.4</v>
      </c>
      <c r="T10" s="406">
        <v>41.7</v>
      </c>
      <c r="U10" s="407">
        <v>39.4</v>
      </c>
      <c r="V10" s="407">
        <v>38.799999999999997</v>
      </c>
      <c r="W10" s="407"/>
      <c r="X10" s="407"/>
      <c r="Y10" s="407"/>
      <c r="Z10" s="407"/>
    </row>
    <row r="11" spans="2:26" x14ac:dyDescent="0.2">
      <c r="J11" s="275" t="s">
        <v>149</v>
      </c>
      <c r="K11" s="408">
        <v>51.6</v>
      </c>
      <c r="L11" s="406">
        <v>50.1</v>
      </c>
      <c r="M11" s="406">
        <v>48.6</v>
      </c>
      <c r="N11" s="406">
        <v>50.4</v>
      </c>
      <c r="O11" s="406">
        <v>49.2</v>
      </c>
      <c r="P11" s="406">
        <v>49.4</v>
      </c>
      <c r="Q11" s="406">
        <v>48.5</v>
      </c>
      <c r="R11" s="406">
        <v>49.3</v>
      </c>
      <c r="S11" s="406">
        <v>49.4</v>
      </c>
      <c r="T11" s="406">
        <v>50.1</v>
      </c>
      <c r="U11" s="407">
        <v>46.5</v>
      </c>
      <c r="V11" s="407">
        <v>46.5</v>
      </c>
      <c r="W11" s="407"/>
      <c r="X11" s="407"/>
      <c r="Y11" s="407"/>
      <c r="Z11" s="407"/>
    </row>
    <row r="12" spans="2:26" x14ac:dyDescent="0.2">
      <c r="J12" s="275" t="s">
        <v>150</v>
      </c>
      <c r="K12" s="408">
        <v>44.6</v>
      </c>
      <c r="L12" s="406">
        <v>43.1</v>
      </c>
      <c r="M12" s="406">
        <v>44.3</v>
      </c>
      <c r="N12" s="406">
        <v>45</v>
      </c>
      <c r="O12" s="406">
        <v>45.8</v>
      </c>
      <c r="P12" s="406">
        <v>43.9</v>
      </c>
      <c r="Q12" s="406">
        <v>42.9</v>
      </c>
      <c r="R12" s="406">
        <v>42.6</v>
      </c>
      <c r="S12" s="406">
        <v>42.3</v>
      </c>
      <c r="T12" s="406">
        <v>41.6</v>
      </c>
      <c r="U12" s="407">
        <v>41.1</v>
      </c>
      <c r="V12" s="407">
        <v>41.2</v>
      </c>
      <c r="W12" s="407"/>
      <c r="X12" s="407"/>
      <c r="Y12" s="407"/>
      <c r="Z12" s="407"/>
    </row>
    <row r="13" spans="2:26" x14ac:dyDescent="0.2">
      <c r="J13" s="275" t="s">
        <v>187</v>
      </c>
      <c r="K13" s="408">
        <v>38.799999999999997</v>
      </c>
      <c r="L13" s="406">
        <v>36.299999999999997</v>
      </c>
      <c r="M13" s="406">
        <v>36.9</v>
      </c>
      <c r="N13" s="406">
        <v>44.1</v>
      </c>
      <c r="O13" s="406">
        <v>42.1</v>
      </c>
      <c r="P13" s="406">
        <v>40.799999999999997</v>
      </c>
      <c r="Q13" s="406">
        <v>40.6</v>
      </c>
      <c r="R13" s="406">
        <v>41.4</v>
      </c>
      <c r="S13" s="406">
        <v>42</v>
      </c>
      <c r="T13" s="406">
        <v>45.2</v>
      </c>
      <c r="U13" s="407">
        <v>41.5</v>
      </c>
      <c r="V13" s="407">
        <v>40.4</v>
      </c>
      <c r="W13" s="405">
        <v>39.71876790983297</v>
      </c>
      <c r="X13" s="405">
        <v>38.454008935234242</v>
      </c>
      <c r="Y13" s="405">
        <v>38.516615717573984</v>
      </c>
      <c r="Z13" s="405">
        <v>37.391051522424142</v>
      </c>
    </row>
    <row r="14" spans="2:26" x14ac:dyDescent="0.2">
      <c r="J14" s="275" t="s">
        <v>151</v>
      </c>
      <c r="K14" s="405">
        <f>AVERAGE(K10:K12)</f>
        <v>45.666666666666664</v>
      </c>
      <c r="L14" s="405">
        <f t="shared" ref="L14" si="0">AVERAGE(L10:L12)</f>
        <v>44.4</v>
      </c>
      <c r="M14" s="405">
        <v>44.5</v>
      </c>
      <c r="N14" s="405">
        <v>46.533333333333331</v>
      </c>
      <c r="O14" s="405">
        <v>46.166666666666664</v>
      </c>
      <c r="P14" s="405">
        <v>45.433333333333337</v>
      </c>
      <c r="Q14" s="405">
        <v>45.300000000000004</v>
      </c>
      <c r="R14" s="405">
        <v>44.833333333333336</v>
      </c>
      <c r="S14" s="405">
        <v>44.699999999999996</v>
      </c>
      <c r="T14" s="405">
        <v>44.466666666666669</v>
      </c>
      <c r="U14" s="405">
        <v>42.333333333333336</v>
      </c>
      <c r="V14" s="405">
        <v>42.166666666666664</v>
      </c>
      <c r="W14" s="405"/>
      <c r="X14" s="405"/>
      <c r="Y14" s="405"/>
      <c r="Z14" s="405"/>
    </row>
    <row r="15" spans="2:26" x14ac:dyDescent="0.2">
      <c r="J15" s="275" t="s">
        <v>194</v>
      </c>
      <c r="K15" s="405">
        <f>K9</f>
        <v>46</v>
      </c>
      <c r="L15" s="405">
        <f t="shared" ref="L15" si="1">L9</f>
        <v>45.3</v>
      </c>
      <c r="M15" s="405">
        <v>46.6</v>
      </c>
      <c r="N15" s="405">
        <v>50.7</v>
      </c>
      <c r="O15" s="405">
        <v>50.6</v>
      </c>
      <c r="P15" s="405">
        <v>49.2</v>
      </c>
      <c r="Q15" s="405">
        <v>49.8</v>
      </c>
      <c r="R15" s="405">
        <v>49.8</v>
      </c>
      <c r="S15" s="405">
        <v>49.2</v>
      </c>
      <c r="T15" s="405">
        <v>48.3</v>
      </c>
      <c r="U15" s="405">
        <v>47.6</v>
      </c>
      <c r="V15" s="405">
        <v>47.1</v>
      </c>
      <c r="W15" s="405"/>
      <c r="X15" s="405"/>
      <c r="Y15" s="405"/>
      <c r="Z15" s="405"/>
    </row>
    <row r="16" spans="2:26" x14ac:dyDescent="0.2">
      <c r="J16" s="275" t="s">
        <v>310</v>
      </c>
      <c r="K16" s="407">
        <v>45.2</v>
      </c>
      <c r="L16" s="407">
        <v>44.7</v>
      </c>
      <c r="M16" s="407">
        <v>46.2</v>
      </c>
      <c r="N16" s="407">
        <v>50.1</v>
      </c>
      <c r="O16" s="407">
        <v>49.9</v>
      </c>
      <c r="P16" s="407">
        <v>48.6</v>
      </c>
      <c r="Q16" s="405">
        <v>48.9</v>
      </c>
      <c r="R16" s="407">
        <v>48.6</v>
      </c>
      <c r="S16" s="407">
        <v>48</v>
      </c>
      <c r="T16" s="407">
        <v>47</v>
      </c>
      <c r="U16" s="407">
        <v>46.3</v>
      </c>
      <c r="V16" s="407">
        <v>45.8</v>
      </c>
      <c r="W16" s="407"/>
      <c r="X16" s="407"/>
      <c r="Y16" s="407"/>
      <c r="Z16" s="407"/>
    </row>
    <row r="17" spans="2:26" x14ac:dyDescent="0.2">
      <c r="J17" s="279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</row>
    <row r="18" spans="2:26" x14ac:dyDescent="0.2">
      <c r="J18" s="274" t="s">
        <v>1092</v>
      </c>
      <c r="K18" s="275"/>
      <c r="L18" s="276" t="s">
        <v>82</v>
      </c>
      <c r="M18" s="280"/>
      <c r="N18" s="280"/>
      <c r="O18" s="280"/>
      <c r="P18" s="280"/>
      <c r="Q18" s="280"/>
      <c r="R18" s="280"/>
      <c r="S18" s="280"/>
      <c r="T18" s="280"/>
      <c r="U18" s="280"/>
      <c r="V18" s="279"/>
      <c r="W18" s="279"/>
      <c r="X18" s="279"/>
      <c r="Y18" s="279"/>
    </row>
    <row r="19" spans="2:26" x14ac:dyDescent="0.2"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</row>
    <row r="20" spans="2:26" x14ac:dyDescent="0.2">
      <c r="B20" s="60" t="s">
        <v>693</v>
      </c>
      <c r="J20" s="278" t="s">
        <v>138</v>
      </c>
      <c r="K20" s="404" t="s">
        <v>192</v>
      </c>
      <c r="L20" s="404" t="s">
        <v>139</v>
      </c>
      <c r="M20" s="404" t="s">
        <v>140</v>
      </c>
      <c r="N20" s="404" t="s">
        <v>141</v>
      </c>
      <c r="O20" s="404" t="s">
        <v>142</v>
      </c>
      <c r="P20" s="404" t="s">
        <v>143</v>
      </c>
      <c r="Q20" s="404" t="s">
        <v>144</v>
      </c>
      <c r="R20" s="404" t="s">
        <v>145</v>
      </c>
      <c r="S20" s="404" t="s">
        <v>146</v>
      </c>
      <c r="T20" s="404" t="s">
        <v>147</v>
      </c>
      <c r="U20" s="404" t="s">
        <v>311</v>
      </c>
      <c r="V20" s="404" t="s">
        <v>312</v>
      </c>
      <c r="W20" s="404" t="s">
        <v>313</v>
      </c>
      <c r="X20" s="404" t="s">
        <v>314</v>
      </c>
      <c r="Y20" s="404" t="s">
        <v>315</v>
      </c>
      <c r="Z20" s="404" t="s">
        <v>787</v>
      </c>
    </row>
    <row r="21" spans="2:26" x14ac:dyDescent="0.2">
      <c r="J21" s="275" t="s">
        <v>191</v>
      </c>
      <c r="K21" s="406">
        <v>3.2</v>
      </c>
      <c r="L21" s="406">
        <v>3.2</v>
      </c>
      <c r="M21" s="406">
        <v>3.4</v>
      </c>
      <c r="N21" s="406">
        <v>3.7</v>
      </c>
      <c r="O21" s="406">
        <v>3.5</v>
      </c>
      <c r="P21" s="406">
        <v>3.3</v>
      </c>
      <c r="Q21" s="406">
        <v>3.1</v>
      </c>
      <c r="R21" s="406">
        <v>2.9</v>
      </c>
      <c r="S21" s="406">
        <v>2.9</v>
      </c>
      <c r="T21" s="406">
        <v>2.9</v>
      </c>
      <c r="U21" s="407">
        <v>2.7</v>
      </c>
      <c r="V21" s="407">
        <v>2.7</v>
      </c>
      <c r="W21" s="407"/>
      <c r="X21" s="407"/>
      <c r="Y21" s="407"/>
    </row>
    <row r="22" spans="2:26" x14ac:dyDescent="0.2">
      <c r="J22" s="275" t="s">
        <v>190</v>
      </c>
      <c r="K22" s="406">
        <v>3.2</v>
      </c>
      <c r="L22" s="406">
        <v>3.2</v>
      </c>
      <c r="M22" s="406">
        <v>3.3</v>
      </c>
      <c r="N22" s="406">
        <v>3.6</v>
      </c>
      <c r="O22" s="406">
        <v>3.4</v>
      </c>
      <c r="P22" s="406">
        <v>3.1</v>
      </c>
      <c r="Q22" s="406">
        <v>2.9</v>
      </c>
      <c r="R22" s="406">
        <v>2.8</v>
      </c>
      <c r="S22" s="406">
        <v>2.7</v>
      </c>
      <c r="T22" s="406">
        <v>2.7</v>
      </c>
      <c r="U22" s="407">
        <v>2.6</v>
      </c>
      <c r="V22" s="407">
        <v>2.6</v>
      </c>
      <c r="W22" s="407"/>
      <c r="X22" s="407"/>
      <c r="Y22" s="407"/>
    </row>
    <row r="23" spans="2:26" x14ac:dyDescent="0.2">
      <c r="J23" s="275" t="s">
        <v>154</v>
      </c>
      <c r="K23" s="406">
        <v>4.9000000000000004</v>
      </c>
      <c r="L23" s="406">
        <v>4.5999999999999996</v>
      </c>
      <c r="M23" s="406">
        <v>5.3</v>
      </c>
      <c r="N23" s="406">
        <v>6</v>
      </c>
      <c r="O23" s="406">
        <v>5.0999999999999996</v>
      </c>
      <c r="P23" s="406">
        <v>4.5</v>
      </c>
      <c r="Q23" s="406">
        <v>4.2</v>
      </c>
      <c r="R23" s="406">
        <v>3.7</v>
      </c>
      <c r="S23" s="406">
        <v>4.0999999999999996</v>
      </c>
      <c r="T23" s="406">
        <v>5.0999999999999996</v>
      </c>
      <c r="U23" s="407">
        <v>3.3</v>
      </c>
      <c r="V23" s="407">
        <v>3.3</v>
      </c>
      <c r="W23" s="407"/>
      <c r="X23" s="407"/>
      <c r="Y23" s="407"/>
    </row>
    <row r="24" spans="2:26" x14ac:dyDescent="0.2">
      <c r="J24" s="275" t="s">
        <v>186</v>
      </c>
      <c r="K24" s="406">
        <v>5.2</v>
      </c>
      <c r="L24" s="406">
        <v>4.3</v>
      </c>
      <c r="M24" s="406">
        <v>3.2</v>
      </c>
      <c r="N24" s="406">
        <v>3.4</v>
      </c>
      <c r="O24" s="406">
        <v>3.7</v>
      </c>
      <c r="P24" s="406">
        <v>3.3</v>
      </c>
      <c r="Q24" s="406">
        <v>3.7</v>
      </c>
      <c r="R24" s="406">
        <v>4.4000000000000004</v>
      </c>
      <c r="S24" s="406">
        <v>5.3</v>
      </c>
      <c r="T24" s="406">
        <v>6.6</v>
      </c>
      <c r="U24" s="407">
        <v>3.1</v>
      </c>
      <c r="V24" s="407">
        <v>4.4000000000000004</v>
      </c>
      <c r="W24" s="407"/>
      <c r="X24" s="407"/>
      <c r="Y24" s="407"/>
    </row>
    <row r="25" spans="2:26" x14ac:dyDescent="0.2">
      <c r="B25" s="275"/>
      <c r="C25" s="275"/>
      <c r="D25" s="275"/>
      <c r="J25" s="275" t="s">
        <v>185</v>
      </c>
      <c r="K25" s="406">
        <v>4</v>
      </c>
      <c r="L25" s="406">
        <v>4.5</v>
      </c>
      <c r="M25" s="406">
        <v>4.8</v>
      </c>
      <c r="N25" s="406">
        <v>5</v>
      </c>
      <c r="O25" s="406">
        <v>5.6</v>
      </c>
      <c r="P25" s="406">
        <v>5.9</v>
      </c>
      <c r="Q25" s="406">
        <v>4.7</v>
      </c>
      <c r="R25" s="406">
        <v>4.0999999999999996</v>
      </c>
      <c r="S25" s="406">
        <v>4.5</v>
      </c>
      <c r="T25" s="406">
        <v>4.4000000000000004</v>
      </c>
      <c r="U25" s="407">
        <v>3.3</v>
      </c>
      <c r="V25" s="405">
        <v>3.7</v>
      </c>
      <c r="W25" s="405"/>
      <c r="X25" s="405"/>
      <c r="Y25" s="405"/>
    </row>
    <row r="26" spans="2:26" x14ac:dyDescent="0.2">
      <c r="B26" s="275"/>
      <c r="C26" s="275"/>
      <c r="D26" s="275"/>
      <c r="J26" s="275" t="s">
        <v>187</v>
      </c>
      <c r="K26" s="406">
        <v>3.8</v>
      </c>
      <c r="L26" s="406">
        <v>3.2</v>
      </c>
      <c r="M26" s="406">
        <v>3.4</v>
      </c>
      <c r="N26" s="406">
        <v>3.9</v>
      </c>
      <c r="O26" s="406">
        <v>3.6</v>
      </c>
      <c r="P26" s="406">
        <v>3.8</v>
      </c>
      <c r="Q26" s="406">
        <v>3.4</v>
      </c>
      <c r="R26" s="406">
        <v>3.3</v>
      </c>
      <c r="S26" s="406">
        <v>4</v>
      </c>
      <c r="T26" s="406">
        <v>6.3</v>
      </c>
      <c r="U26" s="405">
        <v>3.2</v>
      </c>
      <c r="V26" s="405">
        <v>3.2</v>
      </c>
      <c r="W26" s="405">
        <v>3.1556878351943074</v>
      </c>
      <c r="X26" s="405">
        <v>2.3858887169086893</v>
      </c>
      <c r="Y26" s="405">
        <v>2.4866995510415864</v>
      </c>
      <c r="Z26" s="492">
        <v>2.678461799670727</v>
      </c>
    </row>
    <row r="27" spans="2:26" x14ac:dyDescent="0.2">
      <c r="J27" s="275" t="s">
        <v>151</v>
      </c>
      <c r="K27" s="406">
        <f>AVERAGE(K23:K25)</f>
        <v>4.7</v>
      </c>
      <c r="L27" s="406">
        <f t="shared" ref="L27" si="2">AVERAGE(L23:L25)</f>
        <v>4.4666666666666659</v>
      </c>
      <c r="M27" s="406">
        <v>4.4333333333333336</v>
      </c>
      <c r="N27" s="406">
        <v>4.8</v>
      </c>
      <c r="O27" s="406">
        <v>4.8</v>
      </c>
      <c r="P27" s="406">
        <v>4.5666666666666664</v>
      </c>
      <c r="Q27" s="406">
        <v>4.2</v>
      </c>
      <c r="R27" s="406">
        <v>4.0666666666666673</v>
      </c>
      <c r="S27" s="406">
        <v>4.6333333333333329</v>
      </c>
      <c r="T27" s="406">
        <v>5.3666666666666671</v>
      </c>
      <c r="U27" s="406">
        <v>3.2333333333333329</v>
      </c>
      <c r="V27" s="407">
        <v>3.8000000000000003</v>
      </c>
      <c r="W27" s="407"/>
      <c r="X27" s="407"/>
      <c r="Y27" s="407"/>
    </row>
    <row r="28" spans="2:26" x14ac:dyDescent="0.2">
      <c r="J28" s="275" t="str">
        <f>J15</f>
        <v>EA 19</v>
      </c>
      <c r="K28" s="406">
        <f>K22</f>
        <v>3.2</v>
      </c>
      <c r="L28" s="406">
        <f t="shared" ref="L28:V28" si="3">L22</f>
        <v>3.2</v>
      </c>
      <c r="M28" s="406">
        <f>M22</f>
        <v>3.3</v>
      </c>
      <c r="N28" s="406">
        <f t="shared" si="3"/>
        <v>3.6</v>
      </c>
      <c r="O28" s="406">
        <f t="shared" si="3"/>
        <v>3.4</v>
      </c>
      <c r="P28" s="406">
        <f t="shared" si="3"/>
        <v>3.1</v>
      </c>
      <c r="Q28" s="406">
        <f t="shared" si="3"/>
        <v>2.9</v>
      </c>
      <c r="R28" s="406">
        <f t="shared" si="3"/>
        <v>2.8</v>
      </c>
      <c r="S28" s="406">
        <f t="shared" si="3"/>
        <v>2.7</v>
      </c>
      <c r="T28" s="406">
        <f t="shared" si="3"/>
        <v>2.7</v>
      </c>
      <c r="U28" s="406">
        <f t="shared" si="3"/>
        <v>2.6</v>
      </c>
      <c r="V28" s="406">
        <f t="shared" si="3"/>
        <v>2.6</v>
      </c>
      <c r="W28" s="407"/>
      <c r="X28" s="407"/>
      <c r="Y28" s="407"/>
    </row>
    <row r="29" spans="2:26" x14ac:dyDescent="0.2"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</row>
    <row r="30" spans="2:26" x14ac:dyDescent="0.2"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</row>
    <row r="39" spans="2:2" x14ac:dyDescent="0.2">
      <c r="B39" s="60" t="s">
        <v>1146</v>
      </c>
    </row>
    <row r="56" spans="2:4" x14ac:dyDescent="0.2">
      <c r="B56" s="60" t="s">
        <v>1147</v>
      </c>
    </row>
    <row r="61" spans="2:4" x14ac:dyDescent="0.2">
      <c r="B61" s="275"/>
      <c r="C61" s="275"/>
      <c r="D61" s="275"/>
    </row>
    <row r="62" spans="2:4" x14ac:dyDescent="0.2">
      <c r="B62" s="275"/>
      <c r="C62" s="275"/>
      <c r="D62" s="275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B2:AG98"/>
  <sheetViews>
    <sheetView showGridLines="0" zoomScaleNormal="100" workbookViewId="0">
      <selection activeCell="E44" sqref="E44"/>
    </sheetView>
  </sheetViews>
  <sheetFormatPr defaultColWidth="9.140625" defaultRowHeight="12.75" x14ac:dyDescent="0.2"/>
  <cols>
    <col min="1" max="1" width="9.140625" style="281"/>
    <col min="2" max="2" width="31.5703125" style="281" customWidth="1"/>
    <col min="3" max="3" width="9.140625" style="281"/>
    <col min="4" max="4" width="11.42578125" style="281" customWidth="1"/>
    <col min="5" max="5" width="13.28515625" style="281" bestFit="1" customWidth="1"/>
    <col min="6" max="6" width="12.7109375" style="281" bestFit="1" customWidth="1"/>
    <col min="7" max="17" width="9.140625" style="281"/>
    <col min="18" max="18" width="29.42578125" style="281" customWidth="1"/>
    <col min="19" max="19" width="11.42578125" style="281" customWidth="1"/>
    <col min="20" max="20" width="12.28515625" style="281" customWidth="1"/>
    <col min="21" max="21" width="11.85546875" style="281" customWidth="1"/>
    <col min="22" max="22" width="12.42578125" style="281" customWidth="1"/>
    <col min="23" max="23" width="12.85546875" style="281" customWidth="1"/>
    <col min="24" max="24" width="5.28515625" style="281" customWidth="1"/>
    <col min="25" max="30" width="9.85546875" style="281" customWidth="1"/>
    <col min="31" max="31" width="14.140625" style="281" bestFit="1" customWidth="1"/>
    <col min="32" max="32" width="11.42578125" style="281" bestFit="1" customWidth="1"/>
    <col min="33" max="33" width="17.28515625" style="281" customWidth="1"/>
    <col min="34" max="34" width="13.42578125" style="281" customWidth="1"/>
    <col min="35" max="16384" width="9.140625" style="281"/>
  </cols>
  <sheetData>
    <row r="2" spans="2:33" x14ac:dyDescent="0.2">
      <c r="B2" s="6"/>
    </row>
    <row r="3" spans="2:33" ht="16.5" customHeight="1" x14ac:dyDescent="0.2">
      <c r="B3" s="6"/>
    </row>
    <row r="4" spans="2:33" ht="16.5" customHeight="1" thickBot="1" x14ac:dyDescent="0.25">
      <c r="B4" s="60" t="s">
        <v>690</v>
      </c>
      <c r="R4" s="282" t="s">
        <v>204</v>
      </c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</row>
    <row r="5" spans="2:33" ht="16.5" customHeight="1" x14ac:dyDescent="0.2"/>
    <row r="6" spans="2:33" ht="16.5" customHeight="1" x14ac:dyDescent="0.2"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G6" s="6"/>
    </row>
    <row r="7" spans="2:33" ht="16.5" customHeight="1" x14ac:dyDescent="0.2">
      <c r="R7" s="323" t="s">
        <v>21</v>
      </c>
      <c r="S7" s="324" t="s">
        <v>226</v>
      </c>
      <c r="T7" s="324">
        <v>2018</v>
      </c>
      <c r="U7" s="324">
        <v>2019</v>
      </c>
      <c r="V7" s="324">
        <v>2020</v>
      </c>
      <c r="W7" s="324">
        <v>2021</v>
      </c>
      <c r="X7" s="325"/>
      <c r="Y7" s="324" t="s">
        <v>625</v>
      </c>
      <c r="Z7" s="324" t="s">
        <v>625</v>
      </c>
      <c r="AA7" s="324" t="s">
        <v>625</v>
      </c>
      <c r="AB7" s="476">
        <v>2018</v>
      </c>
      <c r="AC7" s="477" t="s">
        <v>697</v>
      </c>
      <c r="AD7" s="477" t="s">
        <v>700</v>
      </c>
      <c r="AE7" s="480"/>
      <c r="AF7" s="480"/>
      <c r="AG7" s="6"/>
    </row>
    <row r="8" spans="2:33" ht="16.5" customHeight="1" x14ac:dyDescent="0.2">
      <c r="R8" s="311"/>
      <c r="S8" s="311"/>
      <c r="T8" s="312" t="s">
        <v>188</v>
      </c>
      <c r="U8" s="312" t="s">
        <v>188</v>
      </c>
      <c r="V8" s="312" t="s">
        <v>188</v>
      </c>
      <c r="W8" s="312" t="s">
        <v>188</v>
      </c>
      <c r="X8" s="285"/>
      <c r="Y8" s="312" t="s">
        <v>188</v>
      </c>
      <c r="Z8" s="312" t="s">
        <v>232</v>
      </c>
      <c r="AA8" s="312" t="s">
        <v>0</v>
      </c>
      <c r="AB8" s="312" t="s">
        <v>0</v>
      </c>
      <c r="AC8" s="312" t="s">
        <v>0</v>
      </c>
      <c r="AD8" s="311" t="s">
        <v>0</v>
      </c>
      <c r="AE8" s="311"/>
      <c r="AF8" s="311"/>
      <c r="AG8" s="6"/>
    </row>
    <row r="9" spans="2:33" ht="16.5" customHeight="1" x14ac:dyDescent="0.2">
      <c r="R9" s="299" t="s">
        <v>22</v>
      </c>
      <c r="S9" s="311">
        <v>1</v>
      </c>
      <c r="T9" s="313">
        <v>4600.2849999999999</v>
      </c>
      <c r="U9" s="313">
        <v>4645.8404810000002</v>
      </c>
      <c r="V9" s="313">
        <v>5166.7137149999999</v>
      </c>
      <c r="W9" s="313">
        <v>5466.5404330000001</v>
      </c>
      <c r="X9" s="291"/>
      <c r="Y9" s="313">
        <v>4588.7384689999999</v>
      </c>
      <c r="Z9" s="313">
        <f>Y9/$Y$19*100</f>
        <v>13.04542327503537</v>
      </c>
      <c r="AA9" s="313">
        <f>Y9/$Y$20*100</f>
        <v>5.1273513458248638</v>
      </c>
      <c r="AB9" s="474">
        <f>T9/$T$20*100</f>
        <v>5.0932845361949948</v>
      </c>
      <c r="AC9" s="474">
        <f>U9/$U$20*100</f>
        <v>4.802536737178686</v>
      </c>
      <c r="AD9" s="478">
        <f>W9/$W$20*100</f>
        <v>5.0105704086855534</v>
      </c>
    </row>
    <row r="10" spans="2:33" ht="16.5" customHeight="1" x14ac:dyDescent="0.2">
      <c r="R10" s="299" t="s">
        <v>23</v>
      </c>
      <c r="S10" s="311">
        <v>2</v>
      </c>
      <c r="T10" s="313">
        <v>1041.75</v>
      </c>
      <c r="U10" s="313">
        <v>1149.897577</v>
      </c>
      <c r="V10" s="313">
        <v>1335.5423290000001</v>
      </c>
      <c r="W10" s="313">
        <v>1554.4413569999999</v>
      </c>
      <c r="X10" s="291"/>
      <c r="Y10" s="313">
        <v>1025.5033559999999</v>
      </c>
      <c r="Z10" s="313">
        <f t="shared" ref="Z10:Z19" si="0">Y10/$Y$19*100</f>
        <v>2.9154255443772783</v>
      </c>
      <c r="AA10" s="313">
        <f>Y10/$Y$20*100</f>
        <v>1.1458739799743674</v>
      </c>
      <c r="AB10" s="474">
        <f>T10/$T$20*100</f>
        <v>1.1533914019633862</v>
      </c>
      <c r="AC10" s="474">
        <f t="shared" ref="AC10:AC19" si="1">U10/$U$20*100</f>
        <v>1.1886816562299563</v>
      </c>
      <c r="AD10" s="478">
        <f t="shared" ref="AD10:AD19" si="2">W10/$W$20*100</f>
        <v>1.424783729468706</v>
      </c>
    </row>
    <row r="11" spans="2:33" ht="16.5" customHeight="1" x14ac:dyDescent="0.2">
      <c r="R11" s="299" t="s">
        <v>24</v>
      </c>
      <c r="S11" s="311">
        <v>3</v>
      </c>
      <c r="T11" s="313">
        <v>1949.41</v>
      </c>
      <c r="U11" s="313">
        <v>1971.1112680000001</v>
      </c>
      <c r="V11" s="313">
        <v>1970.471325</v>
      </c>
      <c r="W11" s="313">
        <v>1983.2113549999999</v>
      </c>
      <c r="X11" s="291"/>
      <c r="Y11" s="313">
        <v>1840.664679</v>
      </c>
      <c r="Z11" s="313">
        <f t="shared" si="0"/>
        <v>5.2328651997016022</v>
      </c>
      <c r="AA11" s="313">
        <f>Y11/$Y$20*100</f>
        <v>2.0567165862341374</v>
      </c>
      <c r="AB11" s="474">
        <f>T11/$T$20*100</f>
        <v>2.1583227577647657</v>
      </c>
      <c r="AC11" s="474">
        <f t="shared" si="1"/>
        <v>2.0375934809537992</v>
      </c>
      <c r="AD11" s="478">
        <f t="shared" si="2"/>
        <v>1.8177895602024863</v>
      </c>
    </row>
    <row r="12" spans="2:33" ht="16.5" customHeight="1" x14ac:dyDescent="0.2">
      <c r="R12" s="299" t="s">
        <v>25</v>
      </c>
      <c r="S12" s="311">
        <v>4</v>
      </c>
      <c r="T12" s="313">
        <v>3495.5929999999998</v>
      </c>
      <c r="U12" s="313">
        <v>3835.9167310000003</v>
      </c>
      <c r="V12" s="313">
        <v>4972.7647079999997</v>
      </c>
      <c r="W12" s="313">
        <v>4894.3870889999998</v>
      </c>
      <c r="X12" s="291"/>
      <c r="Y12" s="313">
        <v>3213.1192850000002</v>
      </c>
      <c r="Z12" s="313">
        <f t="shared" si="0"/>
        <v>9.1346459139430216</v>
      </c>
      <c r="AA12" s="313">
        <f t="shared" ref="AA12:AA17" si="3">Y12/$Y$20*100</f>
        <v>3.5902659525137075</v>
      </c>
      <c r="AB12" s="474">
        <f>T12/$T$20*100</f>
        <v>3.8702058180594174</v>
      </c>
      <c r="AC12" s="474">
        <f t="shared" si="1"/>
        <v>3.965295643861749</v>
      </c>
      <c r="AD12" s="478">
        <f t="shared" si="2"/>
        <v>4.4861409912480239</v>
      </c>
    </row>
    <row r="13" spans="2:33" ht="16.5" customHeight="1" x14ac:dyDescent="0.2">
      <c r="R13" s="299" t="s">
        <v>26</v>
      </c>
      <c r="S13" s="311">
        <v>5</v>
      </c>
      <c r="T13" s="313">
        <v>614.08699999999999</v>
      </c>
      <c r="U13" s="313">
        <v>581.23850100000004</v>
      </c>
      <c r="V13" s="313">
        <v>615.48781399999996</v>
      </c>
      <c r="W13" s="313">
        <v>620.89035799999999</v>
      </c>
      <c r="X13" s="291"/>
      <c r="Y13" s="313">
        <v>563.03686200000004</v>
      </c>
      <c r="Z13" s="313">
        <f t="shared" si="0"/>
        <v>1.6006696031727317</v>
      </c>
      <c r="AA13" s="313">
        <f>Y13/$Y$20*100</f>
        <v>0.62912450374488937</v>
      </c>
      <c r="AB13" s="474">
        <f>T13/$T$20*100</f>
        <v>0.67989696746579309</v>
      </c>
      <c r="AC13" s="474">
        <f>U13/$U$20*100</f>
        <v>0.60084268186374057</v>
      </c>
      <c r="AD13" s="478">
        <f t="shared" si="2"/>
        <v>0.56910122461596346</v>
      </c>
    </row>
    <row r="14" spans="2:33" ht="16.5" customHeight="1" x14ac:dyDescent="0.2">
      <c r="R14" s="299" t="s">
        <v>27</v>
      </c>
      <c r="S14" s="311">
        <v>6</v>
      </c>
      <c r="T14" s="313">
        <v>460.202</v>
      </c>
      <c r="U14" s="313">
        <v>375.285348</v>
      </c>
      <c r="V14" s="313">
        <v>401.34150899999997</v>
      </c>
      <c r="W14" s="313">
        <v>405.49116400000003</v>
      </c>
      <c r="X14" s="291"/>
      <c r="Y14" s="313">
        <v>434.83</v>
      </c>
      <c r="Z14" s="313">
        <f t="shared" si="0"/>
        <v>1.2361875580849604</v>
      </c>
      <c r="AA14" s="313">
        <f t="shared" si="3"/>
        <v>0.48586909033211795</v>
      </c>
      <c r="AB14" s="474">
        <f t="shared" ref="AB14:AB19" si="4">T14/$T$20*100</f>
        <v>0.50952054712393013</v>
      </c>
      <c r="AC14" s="474">
        <f t="shared" si="1"/>
        <v>0.3879430811423264</v>
      </c>
      <c r="AD14" s="478">
        <f t="shared" si="2"/>
        <v>0.37166870934618784</v>
      </c>
    </row>
    <row r="15" spans="2:33" ht="16.5" customHeight="1" x14ac:dyDescent="0.2">
      <c r="R15" s="299" t="s">
        <v>28</v>
      </c>
      <c r="S15" s="311">
        <v>7</v>
      </c>
      <c r="T15" s="313">
        <v>6508.9620000000004</v>
      </c>
      <c r="U15" s="313">
        <v>6918.9494709999999</v>
      </c>
      <c r="V15" s="313">
        <v>6910.312602</v>
      </c>
      <c r="W15" s="313">
        <v>7101.1141710000002</v>
      </c>
      <c r="X15" s="291"/>
      <c r="Y15" s="313">
        <v>6540.9263629999996</v>
      </c>
      <c r="Z15" s="313">
        <f t="shared" si="0"/>
        <v>18.595340220984088</v>
      </c>
      <c r="AA15" s="313">
        <f t="shared" si="3"/>
        <v>7.3086814201416157</v>
      </c>
      <c r="AB15" s="474">
        <f t="shared" si="4"/>
        <v>7.2065090535218683</v>
      </c>
      <c r="AC15" s="474">
        <f t="shared" si="1"/>
        <v>7.1523138069536616</v>
      </c>
      <c r="AD15" s="478">
        <f t="shared" si="2"/>
        <v>6.5088025909622402</v>
      </c>
    </row>
    <row r="16" spans="2:33" ht="16.5" customHeight="1" x14ac:dyDescent="0.2">
      <c r="R16" s="299" t="s">
        <v>29</v>
      </c>
      <c r="S16" s="311">
        <v>8</v>
      </c>
      <c r="T16" s="313">
        <v>1032.982</v>
      </c>
      <c r="U16" s="313">
        <v>900.38383199999998</v>
      </c>
      <c r="V16" s="313">
        <v>926.66242599999998</v>
      </c>
      <c r="W16" s="313">
        <v>939.05777699999999</v>
      </c>
      <c r="X16" s="291"/>
      <c r="Y16" s="313">
        <v>934.55781999999999</v>
      </c>
      <c r="Z16" s="313">
        <f t="shared" si="0"/>
        <v>2.6568745242853624</v>
      </c>
      <c r="AA16" s="313">
        <f t="shared" si="3"/>
        <v>1.0442535194585636</v>
      </c>
      <c r="AB16" s="474">
        <f t="shared" si="4"/>
        <v>1.1436837601948091</v>
      </c>
      <c r="AC16" s="474">
        <f t="shared" si="1"/>
        <v>0.93075223921828887</v>
      </c>
      <c r="AD16" s="478">
        <f t="shared" si="2"/>
        <v>0.8607299565696338</v>
      </c>
    </row>
    <row r="17" spans="2:31" ht="16.5" customHeight="1" x14ac:dyDescent="0.2">
      <c r="R17" s="299" t="s">
        <v>30</v>
      </c>
      <c r="S17" s="311">
        <v>9</v>
      </c>
      <c r="T17" s="313">
        <v>3646.288</v>
      </c>
      <c r="U17" s="313">
        <v>3970.5145750000001</v>
      </c>
      <c r="V17" s="313">
        <v>4263.0284839999995</v>
      </c>
      <c r="W17" s="313">
        <v>4475.9014619999998</v>
      </c>
      <c r="X17" s="291"/>
      <c r="Y17" s="313">
        <v>3504.7309089999999</v>
      </c>
      <c r="Z17" s="313">
        <f t="shared" si="0"/>
        <v>9.9636748709647307</v>
      </c>
      <c r="AA17" s="313">
        <f t="shared" si="3"/>
        <v>3.9161061072480901</v>
      </c>
      <c r="AB17" s="474">
        <f t="shared" si="4"/>
        <v>4.0370503751209705</v>
      </c>
      <c r="AC17" s="474">
        <f t="shared" si="1"/>
        <v>4.1044332430106349</v>
      </c>
      <c r="AD17" s="478">
        <f t="shared" si="2"/>
        <v>4.1025617010541193</v>
      </c>
    </row>
    <row r="18" spans="2:31" ht="16.5" customHeight="1" x14ac:dyDescent="0.2">
      <c r="R18" s="323" t="s">
        <v>31</v>
      </c>
      <c r="S18" s="324">
        <v>10</v>
      </c>
      <c r="T18" s="326">
        <v>12581.458000000001</v>
      </c>
      <c r="U18" s="326">
        <v>12909.087278000001</v>
      </c>
      <c r="V18" s="326">
        <v>13182.439766</v>
      </c>
      <c r="W18" s="326">
        <v>13417.239202999999</v>
      </c>
      <c r="X18" s="327"/>
      <c r="Y18" s="326">
        <v>12528.97529</v>
      </c>
      <c r="Z18" s="326">
        <f t="shared" si="0"/>
        <v>35.618893289450845</v>
      </c>
      <c r="AA18" s="326">
        <f>Y18/$Y$20*100</f>
        <v>13.999590246638649</v>
      </c>
      <c r="AB18" s="475">
        <f>T18/$T$20*100</f>
        <v>13.929777279926528</v>
      </c>
      <c r="AC18" s="475">
        <f t="shared" si="1"/>
        <v>13.344488720520282</v>
      </c>
      <c r="AD18" s="479">
        <f t="shared" si="2"/>
        <v>12.298092832346114</v>
      </c>
    </row>
    <row r="19" spans="2:31" ht="16.5" customHeight="1" x14ac:dyDescent="0.2">
      <c r="R19" s="314" t="s">
        <v>32</v>
      </c>
      <c r="S19" s="311" t="s">
        <v>33</v>
      </c>
      <c r="T19" s="313">
        <v>35931.017</v>
      </c>
      <c r="U19" s="313">
        <v>37258.225061999998</v>
      </c>
      <c r="V19" s="313">
        <v>39744.764677999992</v>
      </c>
      <c r="W19" s="313">
        <v>40858.274368999999</v>
      </c>
      <c r="X19" s="285"/>
      <c r="Y19" s="313">
        <v>35175.083033000003</v>
      </c>
      <c r="Z19" s="313">
        <f t="shared" si="0"/>
        <v>100</v>
      </c>
      <c r="AA19" s="313">
        <f>Y19/$Y$20*100</f>
        <v>39.303832752111006</v>
      </c>
      <c r="AB19" s="474">
        <f t="shared" si="4"/>
        <v>39.781642497336463</v>
      </c>
      <c r="AC19" s="474">
        <f t="shared" si="1"/>
        <v>38.514881290933118</v>
      </c>
      <c r="AD19" s="478">
        <f t="shared" si="2"/>
        <v>37.450241704499028</v>
      </c>
    </row>
    <row r="20" spans="2:31" ht="16.5" customHeight="1" thickBot="1" x14ac:dyDescent="0.25">
      <c r="B20" s="523" t="s">
        <v>691</v>
      </c>
      <c r="C20" s="286"/>
      <c r="D20" s="287"/>
      <c r="E20" s="521"/>
      <c r="F20" s="287"/>
      <c r="G20" s="287"/>
      <c r="H20" s="287"/>
      <c r="I20" s="287"/>
      <c r="J20" s="287"/>
      <c r="R20" s="315" t="s">
        <v>696</v>
      </c>
      <c r="S20" s="311">
        <v>1000</v>
      </c>
      <c r="T20" s="313">
        <v>90320.596999999994</v>
      </c>
      <c r="U20" s="313">
        <v>96737.218999999997</v>
      </c>
      <c r="V20" s="313">
        <v>103025.534</v>
      </c>
      <c r="W20" s="313">
        <v>109100.162</v>
      </c>
      <c r="X20" s="306"/>
      <c r="Y20" s="313">
        <f>Y21</f>
        <v>89495.3</v>
      </c>
      <c r="Z20" s="313"/>
      <c r="AA20" s="313"/>
      <c r="AB20" s="284"/>
      <c r="AC20" s="284"/>
      <c r="AD20" s="285"/>
      <c r="AE20" s="6"/>
    </row>
    <row r="21" spans="2:31" ht="16.5" customHeight="1" thickBot="1" x14ac:dyDescent="0.25">
      <c r="B21" s="288" t="s">
        <v>21</v>
      </c>
      <c r="C21" s="289" t="s">
        <v>231</v>
      </c>
      <c r="D21" s="458" t="s">
        <v>695</v>
      </c>
      <c r="E21" s="510" t="s">
        <v>698</v>
      </c>
      <c r="F21" s="519" t="s">
        <v>699</v>
      </c>
      <c r="G21" s="514" t="s">
        <v>624</v>
      </c>
      <c r="H21" s="510" t="s">
        <v>694</v>
      </c>
      <c r="I21" s="310"/>
      <c r="R21" s="290"/>
      <c r="S21" s="285"/>
      <c r="T21" s="285"/>
      <c r="U21" s="291"/>
      <c r="V21" s="285"/>
      <c r="W21" s="292"/>
      <c r="X21" s="285"/>
      <c r="Y21" s="285">
        <v>89495.3</v>
      </c>
      <c r="Z21" s="285"/>
      <c r="AA21" s="285"/>
      <c r="AB21" s="285"/>
      <c r="AC21" s="285"/>
      <c r="AD21" s="285"/>
      <c r="AE21" s="6"/>
    </row>
    <row r="22" spans="2:31" ht="16.5" customHeight="1" thickBot="1" x14ac:dyDescent="0.25">
      <c r="B22" s="293"/>
      <c r="C22" s="294"/>
      <c r="D22" s="295" t="s">
        <v>0</v>
      </c>
      <c r="E22" s="511" t="s">
        <v>0</v>
      </c>
      <c r="F22" s="293" t="s">
        <v>0</v>
      </c>
      <c r="G22" s="515" t="s">
        <v>0</v>
      </c>
      <c r="H22" s="511" t="s">
        <v>0</v>
      </c>
      <c r="I22" s="310"/>
      <c r="R22" s="285"/>
      <c r="S22" s="285"/>
      <c r="T22" s="285"/>
      <c r="U22" s="285"/>
      <c r="V22" s="285"/>
      <c r="W22" s="285"/>
      <c r="X22" s="285"/>
      <c r="Y22" s="307"/>
      <c r="Z22" s="307"/>
      <c r="AA22" s="307"/>
      <c r="AB22" s="55"/>
      <c r="AC22" s="284"/>
      <c r="AD22" s="285"/>
      <c r="AE22" s="6"/>
    </row>
    <row r="23" spans="2:31" ht="16.5" customHeight="1" x14ac:dyDescent="0.2">
      <c r="B23" s="296" t="s">
        <v>22</v>
      </c>
      <c r="C23" s="297">
        <v>1</v>
      </c>
      <c r="D23" s="298">
        <v>5.3</v>
      </c>
      <c r="E23" s="309">
        <f>AC9</f>
        <v>4.802536737178686</v>
      </c>
      <c r="F23" s="309">
        <f>AD9</f>
        <v>5.0105704086855534</v>
      </c>
      <c r="G23" s="516">
        <v>5.6</v>
      </c>
      <c r="H23" s="512">
        <v>6.3</v>
      </c>
      <c r="I23" s="310"/>
      <c r="R23" s="299" t="s">
        <v>228</v>
      </c>
      <c r="S23" s="285"/>
      <c r="T23" s="285"/>
      <c r="U23" s="285"/>
      <c r="V23" s="285"/>
      <c r="W23" s="285"/>
      <c r="X23" s="285"/>
      <c r="Y23" s="307"/>
      <c r="Z23" s="307"/>
      <c r="AA23" s="307"/>
      <c r="AB23" s="55"/>
      <c r="AC23" s="284"/>
      <c r="AD23" s="284"/>
      <c r="AE23" s="6"/>
    </row>
    <row r="24" spans="2:31" ht="16.5" customHeight="1" x14ac:dyDescent="0.2">
      <c r="B24" s="296" t="s">
        <v>23</v>
      </c>
      <c r="C24" s="297">
        <v>2</v>
      </c>
      <c r="D24" s="298">
        <v>1</v>
      </c>
      <c r="E24" s="309">
        <f t="shared" ref="E24:E33" si="5">AC10</f>
        <v>1.1886816562299563</v>
      </c>
      <c r="F24" s="309">
        <f t="shared" ref="F24:F33" si="6">AD10</f>
        <v>1.424783729468706</v>
      </c>
      <c r="G24" s="516">
        <v>1</v>
      </c>
      <c r="H24" s="309">
        <v>1.2</v>
      </c>
      <c r="I24" s="310"/>
      <c r="R24" s="316" t="s">
        <v>227</v>
      </c>
      <c r="S24" s="316" t="s">
        <v>226</v>
      </c>
      <c r="T24" s="883" t="s">
        <v>316</v>
      </c>
      <c r="U24" s="883"/>
      <c r="V24" s="883" t="s">
        <v>317</v>
      </c>
      <c r="W24" s="883"/>
      <c r="X24" s="285"/>
      <c r="Y24" s="307"/>
      <c r="Z24" s="307"/>
      <c r="AA24" s="307"/>
      <c r="AB24" s="55"/>
      <c r="AC24" s="284"/>
      <c r="AD24" s="284"/>
      <c r="AE24" s="6"/>
    </row>
    <row r="25" spans="2:31" ht="16.5" customHeight="1" x14ac:dyDescent="0.2">
      <c r="B25" s="296" t="s">
        <v>24</v>
      </c>
      <c r="C25" s="297">
        <v>3</v>
      </c>
      <c r="D25" s="298">
        <v>2.2999999999999998</v>
      </c>
      <c r="E25" s="309">
        <f t="shared" si="5"/>
        <v>2.0375934809537992</v>
      </c>
      <c r="F25" s="309">
        <f t="shared" si="6"/>
        <v>1.8177895602024863</v>
      </c>
      <c r="G25" s="516">
        <v>2.1</v>
      </c>
      <c r="H25" s="309">
        <v>1.7</v>
      </c>
      <c r="I25" s="310"/>
      <c r="R25" s="328"/>
      <c r="S25" s="328"/>
      <c r="T25" s="325" t="s">
        <v>225</v>
      </c>
      <c r="U25" s="325" t="s">
        <v>224</v>
      </c>
      <c r="V25" s="325" t="s">
        <v>225</v>
      </c>
      <c r="W25" s="329" t="s">
        <v>224</v>
      </c>
      <c r="X25" s="285"/>
      <c r="Y25" s="285"/>
      <c r="Z25" s="285"/>
      <c r="AA25" s="285"/>
      <c r="AB25" s="284"/>
      <c r="AC25" s="284"/>
      <c r="AD25" s="284"/>
      <c r="AE25" s="6"/>
    </row>
    <row r="26" spans="2:31" ht="16.5" customHeight="1" x14ac:dyDescent="0.2">
      <c r="B26" s="296" t="s">
        <v>25</v>
      </c>
      <c r="C26" s="297">
        <v>4</v>
      </c>
      <c r="D26" s="298">
        <v>4.5</v>
      </c>
      <c r="E26" s="309">
        <f t="shared" si="5"/>
        <v>3.965295643861749</v>
      </c>
      <c r="F26" s="309">
        <f t="shared" si="6"/>
        <v>4.4861409912480239</v>
      </c>
      <c r="G26" s="516">
        <v>5.7</v>
      </c>
      <c r="H26" s="309">
        <v>4.2</v>
      </c>
      <c r="I26" s="310"/>
      <c r="R26" s="317" t="s">
        <v>22</v>
      </c>
      <c r="S26" s="316">
        <v>1</v>
      </c>
      <c r="T26" s="318">
        <f t="shared" ref="T26:T33" si="7">AB9-AA9</f>
        <v>-3.4066809629869077E-2</v>
      </c>
      <c r="U26" s="319"/>
      <c r="V26" s="320">
        <f t="shared" ref="V26:V33" si="8">AC9-AB9</f>
        <v>-0.29074779901630876</v>
      </c>
      <c r="W26" s="320"/>
      <c r="X26" s="285"/>
      <c r="Y26" s="285"/>
      <c r="Z26" s="285"/>
      <c r="AA26" s="285"/>
      <c r="AB26" s="284"/>
      <c r="AC26" s="284"/>
      <c r="AD26" s="284"/>
      <c r="AE26" s="6"/>
    </row>
    <row r="27" spans="2:31" ht="16.5" customHeight="1" x14ac:dyDescent="0.2">
      <c r="B27" s="296" t="s">
        <v>26</v>
      </c>
      <c r="C27" s="297">
        <v>5</v>
      </c>
      <c r="D27" s="298">
        <v>0.7</v>
      </c>
      <c r="E27" s="309">
        <f>AC13</f>
        <v>0.60084268186374057</v>
      </c>
      <c r="F27" s="309">
        <f t="shared" si="6"/>
        <v>0.56910122461596346</v>
      </c>
      <c r="G27" s="516">
        <v>0.5</v>
      </c>
      <c r="H27" s="309">
        <v>0.8</v>
      </c>
      <c r="I27" s="310"/>
      <c r="R27" s="317" t="s">
        <v>23</v>
      </c>
      <c r="S27" s="316">
        <v>2</v>
      </c>
      <c r="T27" s="318">
        <f t="shared" si="7"/>
        <v>7.5174219890188354E-3</v>
      </c>
      <c r="U27" s="319"/>
      <c r="V27" s="320">
        <f t="shared" si="8"/>
        <v>3.5290254266570065E-2</v>
      </c>
      <c r="W27" s="320"/>
      <c r="X27" s="285"/>
      <c r="Y27" s="285"/>
      <c r="Z27" s="285"/>
      <c r="AA27" s="285"/>
      <c r="AB27" s="284"/>
      <c r="AC27" s="284"/>
      <c r="AD27" s="284"/>
      <c r="AE27" s="6"/>
    </row>
    <row r="28" spans="2:31" ht="16.5" customHeight="1" x14ac:dyDescent="0.2">
      <c r="B28" s="296" t="s">
        <v>27</v>
      </c>
      <c r="C28" s="297">
        <v>6</v>
      </c>
      <c r="D28" s="298">
        <v>0.5</v>
      </c>
      <c r="E28" s="309">
        <f t="shared" si="5"/>
        <v>0.3879430811423264</v>
      </c>
      <c r="F28" s="309">
        <f t="shared" si="6"/>
        <v>0.37166870934618784</v>
      </c>
      <c r="G28" s="516">
        <v>0.7</v>
      </c>
      <c r="H28" s="309">
        <v>0.6</v>
      </c>
      <c r="I28" s="310"/>
      <c r="R28" s="317" t="s">
        <v>24</v>
      </c>
      <c r="S28" s="316">
        <v>3</v>
      </c>
      <c r="T28" s="318">
        <f t="shared" si="7"/>
        <v>0.10160617153062823</v>
      </c>
      <c r="U28" s="319"/>
      <c r="V28" s="320">
        <f t="shared" si="8"/>
        <v>-0.12072927681096646</v>
      </c>
      <c r="W28" s="320"/>
      <c r="X28" s="285"/>
      <c r="Y28" s="285"/>
      <c r="Z28" s="285"/>
      <c r="AA28" s="285"/>
      <c r="AB28" s="284"/>
      <c r="AC28" s="284"/>
      <c r="AD28" s="284"/>
      <c r="AE28" s="6"/>
    </row>
    <row r="29" spans="2:31" ht="16.5" customHeight="1" x14ac:dyDescent="0.2">
      <c r="B29" s="296" t="s">
        <v>28</v>
      </c>
      <c r="C29" s="297">
        <v>7</v>
      </c>
      <c r="D29" s="298">
        <v>7.4</v>
      </c>
      <c r="E29" s="309">
        <f t="shared" si="5"/>
        <v>7.1523138069536616</v>
      </c>
      <c r="F29" s="309">
        <f t="shared" si="6"/>
        <v>6.5088025909622402</v>
      </c>
      <c r="G29" s="516">
        <v>5.6</v>
      </c>
      <c r="H29" s="309">
        <v>7.1</v>
      </c>
      <c r="I29" s="310"/>
      <c r="R29" s="317" t="s">
        <v>25</v>
      </c>
      <c r="S29" s="316">
        <v>4</v>
      </c>
      <c r="T29" s="318">
        <f t="shared" si="7"/>
        <v>0.27993986554570993</v>
      </c>
      <c r="U29" s="319"/>
      <c r="V29" s="320">
        <f t="shared" si="8"/>
        <v>9.5089825802331607E-2</v>
      </c>
      <c r="W29" s="320"/>
      <c r="X29" s="285"/>
      <c r="Y29" s="285"/>
      <c r="Z29" s="285"/>
      <c r="AA29" s="285"/>
      <c r="AB29" s="284"/>
      <c r="AC29" s="284"/>
      <c r="AD29" s="284"/>
      <c r="AE29" s="6"/>
    </row>
    <row r="30" spans="2:31" ht="16.5" customHeight="1" x14ac:dyDescent="0.2">
      <c r="B30" s="296" t="s">
        <v>29</v>
      </c>
      <c r="C30" s="297">
        <v>8</v>
      </c>
      <c r="D30" s="298">
        <v>1</v>
      </c>
      <c r="E30" s="309">
        <f t="shared" si="5"/>
        <v>0.93075223921828887</v>
      </c>
      <c r="F30" s="309">
        <f t="shared" si="6"/>
        <v>0.8607299565696338</v>
      </c>
      <c r="G30" s="516">
        <v>1.9</v>
      </c>
      <c r="H30" s="309">
        <v>1.1000000000000001</v>
      </c>
      <c r="I30" s="310"/>
      <c r="R30" s="317" t="s">
        <v>26</v>
      </c>
      <c r="S30" s="316">
        <v>5</v>
      </c>
      <c r="T30" s="318">
        <f t="shared" si="7"/>
        <v>5.0772463720903716E-2</v>
      </c>
      <c r="U30" s="319"/>
      <c r="V30" s="320">
        <f t="shared" si="8"/>
        <v>-7.9054285602052521E-2</v>
      </c>
      <c r="W30" s="320"/>
      <c r="X30" s="285"/>
      <c r="Y30" s="285"/>
      <c r="Z30" s="285"/>
      <c r="AA30" s="285"/>
      <c r="AB30" s="284"/>
      <c r="AC30" s="284"/>
      <c r="AD30" s="284"/>
      <c r="AE30" s="6"/>
    </row>
    <row r="31" spans="2:31" ht="16.5" customHeight="1" x14ac:dyDescent="0.2">
      <c r="B31" s="296" t="s">
        <v>30</v>
      </c>
      <c r="C31" s="297">
        <v>9</v>
      </c>
      <c r="D31" s="298">
        <v>3.8</v>
      </c>
      <c r="E31" s="309">
        <f t="shared" si="5"/>
        <v>4.1044332430106349</v>
      </c>
      <c r="F31" s="309">
        <f t="shared" si="6"/>
        <v>4.1025617010541193</v>
      </c>
      <c r="G31" s="516">
        <v>4.8</v>
      </c>
      <c r="H31" s="309">
        <v>4.5999999999999996</v>
      </c>
      <c r="I31" s="310"/>
      <c r="R31" s="317" t="s">
        <v>27</v>
      </c>
      <c r="S31" s="316">
        <v>6</v>
      </c>
      <c r="T31" s="318">
        <f t="shared" si="7"/>
        <v>2.3651456791812187E-2</v>
      </c>
      <c r="U31" s="319"/>
      <c r="V31" s="320">
        <f t="shared" si="8"/>
        <v>-0.12157746598160374</v>
      </c>
      <c r="W31" s="320"/>
      <c r="X31" s="285"/>
      <c r="Y31" s="285"/>
      <c r="Z31" s="307"/>
      <c r="AA31" s="307"/>
      <c r="AB31" s="55"/>
      <c r="AC31" s="55"/>
      <c r="AD31" s="284"/>
      <c r="AE31" s="6"/>
    </row>
    <row r="32" spans="2:31" ht="16.5" customHeight="1" thickBot="1" x14ac:dyDescent="0.25">
      <c r="B32" s="300" t="s">
        <v>31</v>
      </c>
      <c r="C32" s="294">
        <v>10</v>
      </c>
      <c r="D32" s="301">
        <v>15.1</v>
      </c>
      <c r="E32" s="513">
        <f t="shared" si="5"/>
        <v>13.344488720520282</v>
      </c>
      <c r="F32" s="513">
        <f t="shared" si="6"/>
        <v>12.298092832346114</v>
      </c>
      <c r="G32" s="517">
        <v>14.5</v>
      </c>
      <c r="H32" s="513">
        <v>20</v>
      </c>
      <c r="I32" s="310"/>
      <c r="R32" s="317" t="s">
        <v>28</v>
      </c>
      <c r="S32" s="316">
        <v>7</v>
      </c>
      <c r="T32" s="318">
        <f t="shared" si="7"/>
        <v>-0.10217236661974738</v>
      </c>
      <c r="U32" s="319"/>
      <c r="V32" s="320">
        <f t="shared" si="8"/>
        <v>-5.4195246568206734E-2</v>
      </c>
      <c r="W32" s="320"/>
      <c r="X32" s="285"/>
      <c r="Y32" s="285"/>
      <c r="Z32" s="307"/>
      <c r="AA32" s="307"/>
      <c r="AB32" s="55"/>
      <c r="AC32" s="55"/>
      <c r="AD32" s="284"/>
      <c r="AE32" s="6"/>
    </row>
    <row r="33" spans="2:31" ht="16.5" customHeight="1" thickBot="1" x14ac:dyDescent="0.25">
      <c r="B33" s="288" t="s">
        <v>32</v>
      </c>
      <c r="C33" s="289" t="s">
        <v>33</v>
      </c>
      <c r="D33" s="302">
        <v>41.5</v>
      </c>
      <c r="E33" s="520">
        <f t="shared" si="5"/>
        <v>38.514881290933118</v>
      </c>
      <c r="F33" s="520">
        <f t="shared" si="6"/>
        <v>37.450241704499028</v>
      </c>
      <c r="G33" s="518">
        <v>42.4</v>
      </c>
      <c r="H33" s="520">
        <v>47.6</v>
      </c>
      <c r="I33" s="310"/>
      <c r="R33" s="317" t="s">
        <v>29</v>
      </c>
      <c r="S33" s="316">
        <v>8</v>
      </c>
      <c r="T33" s="318">
        <f t="shared" si="7"/>
        <v>9.9430240736245512E-2</v>
      </c>
      <c r="U33" s="319"/>
      <c r="V33" s="320">
        <f t="shared" si="8"/>
        <v>-0.21293152097652024</v>
      </c>
      <c r="W33" s="320"/>
      <c r="X33" s="285"/>
      <c r="Y33" s="285"/>
      <c r="Z33" s="307"/>
      <c r="AA33" s="307"/>
      <c r="AB33" s="55"/>
      <c r="AC33" s="55"/>
      <c r="AD33" s="284"/>
      <c r="AE33" s="6"/>
    </row>
    <row r="34" spans="2:31" ht="16.5" customHeight="1" x14ac:dyDescent="0.2">
      <c r="B34" s="882" t="s">
        <v>230</v>
      </c>
      <c r="C34" s="882"/>
      <c r="D34" s="882"/>
      <c r="E34" s="882"/>
      <c r="F34" s="882"/>
      <c r="G34" s="882"/>
      <c r="H34" s="882"/>
      <c r="I34" s="303" t="s">
        <v>229</v>
      </c>
      <c r="J34" s="303"/>
      <c r="K34" s="303"/>
      <c r="R34" s="317" t="s">
        <v>30</v>
      </c>
      <c r="S34" s="316">
        <v>9</v>
      </c>
      <c r="T34" s="318">
        <f t="shared" ref="T34:T36" si="9">AB17-AA17</f>
        <v>0.12094426787288048</v>
      </c>
      <c r="U34" s="319"/>
      <c r="V34" s="320">
        <f t="shared" ref="V34:V36" si="10">AC17-AB17</f>
        <v>6.7382867889664411E-2</v>
      </c>
      <c r="W34" s="320"/>
      <c r="X34" s="285"/>
      <c r="Y34" s="285"/>
      <c r="Z34" s="307"/>
      <c r="AA34" s="307"/>
      <c r="AB34" s="55"/>
      <c r="AC34" s="55"/>
      <c r="AD34" s="284"/>
      <c r="AE34" s="6"/>
    </row>
    <row r="35" spans="2:31" ht="16.5" customHeight="1" x14ac:dyDescent="0.2">
      <c r="B35" s="882"/>
      <c r="C35" s="882"/>
      <c r="D35" s="882"/>
      <c r="E35" s="882"/>
      <c r="F35" s="882"/>
      <c r="G35" s="882"/>
      <c r="H35" s="882"/>
      <c r="I35" s="304"/>
      <c r="R35" s="329" t="s">
        <v>31</v>
      </c>
      <c r="S35" s="328">
        <v>10</v>
      </c>
      <c r="T35" s="330">
        <f>AB18-AA18</f>
        <v>-6.9812966712120783E-2</v>
      </c>
      <c r="U35" s="331"/>
      <c r="V35" s="332">
        <f t="shared" si="10"/>
        <v>-0.58528855940624602</v>
      </c>
      <c r="W35" s="332"/>
      <c r="X35" s="285"/>
      <c r="Y35" s="285"/>
      <c r="Z35" s="307"/>
      <c r="AA35" s="307"/>
      <c r="AB35" s="55"/>
      <c r="AC35" s="55"/>
      <c r="AD35" s="284"/>
    </row>
    <row r="36" spans="2:31" x14ac:dyDescent="0.2">
      <c r="B36" s="882"/>
      <c r="C36" s="882"/>
      <c r="D36" s="882"/>
      <c r="E36" s="882"/>
      <c r="F36" s="882"/>
      <c r="G36" s="882"/>
      <c r="H36" s="882"/>
      <c r="I36" s="304"/>
      <c r="R36" s="308" t="s">
        <v>32</v>
      </c>
      <c r="S36" s="527" t="s">
        <v>33</v>
      </c>
      <c r="T36" s="318">
        <f t="shared" si="9"/>
        <v>0.47780974522545705</v>
      </c>
      <c r="U36" s="319"/>
      <c r="V36" s="320">
        <f t="shared" si="10"/>
        <v>-1.2667612064033449</v>
      </c>
      <c r="W36" s="320"/>
      <c r="X36" s="285"/>
      <c r="Y36" s="285"/>
      <c r="Z36" s="307"/>
      <c r="AA36" s="307"/>
      <c r="AB36" s="55"/>
      <c r="AC36" s="55"/>
      <c r="AD36" s="284"/>
    </row>
    <row r="37" spans="2:31" x14ac:dyDescent="0.2">
      <c r="B37" s="882"/>
      <c r="C37" s="882"/>
      <c r="D37" s="882"/>
      <c r="E37" s="882"/>
      <c r="F37" s="882"/>
      <c r="G37" s="882"/>
      <c r="H37" s="882"/>
      <c r="I37" s="304"/>
      <c r="R37" s="285"/>
      <c r="S37" s="285"/>
      <c r="T37" s="285"/>
      <c r="U37" s="285"/>
      <c r="V37" s="285"/>
      <c r="W37" s="285"/>
      <c r="X37" s="285"/>
      <c r="Y37" s="285"/>
      <c r="Z37" s="307"/>
      <c r="AA37" s="307"/>
      <c r="AB37" s="55"/>
      <c r="AC37" s="55"/>
      <c r="AD37" s="284"/>
    </row>
    <row r="38" spans="2:31" x14ac:dyDescent="0.2">
      <c r="B38" s="882"/>
      <c r="C38" s="882"/>
      <c r="D38" s="882"/>
      <c r="E38" s="882"/>
      <c r="F38" s="882"/>
      <c r="G38" s="882"/>
      <c r="H38" s="882"/>
      <c r="R38" s="308" t="s">
        <v>701</v>
      </c>
      <c r="S38" s="309"/>
      <c r="T38" s="285"/>
      <c r="U38" s="309"/>
      <c r="V38" s="285"/>
      <c r="W38" s="285"/>
      <c r="X38" s="285"/>
      <c r="Y38" s="285"/>
      <c r="Z38" s="307"/>
      <c r="AA38" s="307"/>
      <c r="AB38" s="55"/>
      <c r="AC38" s="55"/>
      <c r="AD38" s="284"/>
    </row>
    <row r="39" spans="2:31" x14ac:dyDescent="0.2">
      <c r="B39" s="882"/>
      <c r="C39" s="882"/>
      <c r="D39" s="882"/>
      <c r="E39" s="882"/>
      <c r="F39" s="882"/>
      <c r="G39" s="882"/>
      <c r="H39" s="882"/>
      <c r="R39" s="333"/>
      <c r="S39" s="334" t="s">
        <v>222</v>
      </c>
      <c r="T39" s="325" t="s">
        <v>222</v>
      </c>
      <c r="U39" s="285"/>
      <c r="V39" s="285"/>
      <c r="W39" s="285"/>
      <c r="X39" s="285"/>
      <c r="Y39" s="285"/>
      <c r="Z39" s="307"/>
      <c r="AA39" s="307"/>
      <c r="AB39" s="55"/>
      <c r="AC39" s="55"/>
      <c r="AD39" s="284"/>
    </row>
    <row r="40" spans="2:31" x14ac:dyDescent="0.2">
      <c r="R40" s="321" t="s">
        <v>221</v>
      </c>
      <c r="S40" s="319">
        <f>T35</f>
        <v>-6.9812966712120783E-2</v>
      </c>
      <c r="T40" s="322">
        <f>V35</f>
        <v>-0.58528855940624602</v>
      </c>
      <c r="U40" s="285"/>
      <c r="V40" s="285"/>
      <c r="W40" s="285" t="s">
        <v>223</v>
      </c>
      <c r="X40" s="285"/>
      <c r="Y40" s="285"/>
      <c r="Z40" s="307"/>
      <c r="AA40" s="307"/>
      <c r="AB40" s="55"/>
      <c r="AC40" s="55"/>
      <c r="AD40" s="284"/>
    </row>
    <row r="41" spans="2:31" x14ac:dyDescent="0.2">
      <c r="R41" s="321" t="s">
        <v>220</v>
      </c>
      <c r="S41" s="319">
        <f>T34</f>
        <v>0.12094426787288048</v>
      </c>
      <c r="T41" s="322">
        <f>V34</f>
        <v>6.7382867889664411E-2</v>
      </c>
      <c r="U41" s="285"/>
      <c r="V41" s="285"/>
      <c r="W41" s="285"/>
      <c r="X41" s="285"/>
      <c r="Y41" s="285"/>
      <c r="Z41" s="285"/>
      <c r="AA41" s="285"/>
      <c r="AB41" s="284"/>
      <c r="AC41" s="284"/>
      <c r="AD41" s="284"/>
    </row>
    <row r="42" spans="2:31" x14ac:dyDescent="0.2">
      <c r="R42" s="321" t="s">
        <v>219</v>
      </c>
      <c r="S42" s="319">
        <f>T33</f>
        <v>9.9430240736245512E-2</v>
      </c>
      <c r="T42" s="322">
        <f>V33</f>
        <v>-0.21293152097652024</v>
      </c>
      <c r="U42" s="285"/>
      <c r="V42" s="285"/>
      <c r="W42" s="285"/>
      <c r="X42" s="285"/>
      <c r="Y42" s="285"/>
      <c r="Z42" s="285"/>
      <c r="AA42" s="285"/>
      <c r="AB42" s="284"/>
      <c r="AC42" s="284"/>
      <c r="AD42" s="284"/>
    </row>
    <row r="43" spans="2:31" x14ac:dyDescent="0.2">
      <c r="R43" s="321" t="s">
        <v>218</v>
      </c>
      <c r="S43" s="319">
        <f>T32</f>
        <v>-0.10217236661974738</v>
      </c>
      <c r="T43" s="322">
        <f>V32</f>
        <v>-5.4195246568206734E-2</v>
      </c>
      <c r="U43" s="285"/>
      <c r="V43" s="285"/>
      <c r="W43" s="285"/>
      <c r="X43" s="285"/>
      <c r="Y43" s="285"/>
      <c r="Z43" s="285"/>
      <c r="AA43" s="285"/>
      <c r="AB43" s="284"/>
      <c r="AC43" s="284"/>
      <c r="AD43" s="284"/>
    </row>
    <row r="44" spans="2:31" x14ac:dyDescent="0.2">
      <c r="R44" s="321" t="s">
        <v>217</v>
      </c>
      <c r="S44" s="319">
        <f>T31</f>
        <v>2.3651456791812187E-2</v>
      </c>
      <c r="T44" s="322">
        <f>V31</f>
        <v>-0.12157746598160374</v>
      </c>
      <c r="U44" s="285"/>
      <c r="V44" s="285"/>
      <c r="W44" s="285"/>
      <c r="X44" s="285"/>
      <c r="Y44" s="285"/>
      <c r="Z44" s="285"/>
      <c r="AA44" s="285"/>
      <c r="AB44" s="284"/>
      <c r="AC44" s="284"/>
      <c r="AD44" s="284"/>
    </row>
    <row r="45" spans="2:31" x14ac:dyDescent="0.2">
      <c r="R45" s="321" t="s">
        <v>216</v>
      </c>
      <c r="S45" s="319">
        <f>T30</f>
        <v>5.0772463720903716E-2</v>
      </c>
      <c r="T45" s="322">
        <f>V30</f>
        <v>-7.9054285602052521E-2</v>
      </c>
      <c r="U45" s="285"/>
      <c r="V45" s="285"/>
      <c r="W45" s="285"/>
      <c r="X45" s="285"/>
      <c r="Y45" s="285"/>
      <c r="Z45" s="285"/>
      <c r="AA45" s="285"/>
      <c r="AB45" s="284"/>
      <c r="AC45" s="284"/>
      <c r="AD45" s="284"/>
    </row>
    <row r="46" spans="2:31" x14ac:dyDescent="0.2">
      <c r="R46" s="321" t="s">
        <v>215</v>
      </c>
      <c r="S46" s="319">
        <f>T29</f>
        <v>0.27993986554570993</v>
      </c>
      <c r="T46" s="322">
        <f>V29</f>
        <v>9.5089825802331607E-2</v>
      </c>
      <c r="U46" s="285"/>
      <c r="V46" s="285"/>
      <c r="W46" s="285"/>
      <c r="X46" s="285"/>
      <c r="Y46" s="285"/>
      <c r="Z46" s="285"/>
      <c r="AA46" s="285"/>
      <c r="AB46" s="284"/>
      <c r="AC46" s="284"/>
      <c r="AD46" s="284"/>
    </row>
    <row r="47" spans="2:31" x14ac:dyDescent="0.2">
      <c r="R47" s="321" t="s">
        <v>214</v>
      </c>
      <c r="S47" s="319">
        <f>T28</f>
        <v>0.10160617153062823</v>
      </c>
      <c r="T47" s="322">
        <f>V28</f>
        <v>-0.12072927681096646</v>
      </c>
      <c r="U47" s="285"/>
      <c r="V47" s="285"/>
      <c r="W47" s="285"/>
      <c r="X47" s="285"/>
      <c r="Y47" s="285"/>
      <c r="Z47" s="285"/>
      <c r="AA47" s="285"/>
      <c r="AB47" s="284"/>
      <c r="AC47" s="284"/>
      <c r="AD47" s="284"/>
    </row>
    <row r="48" spans="2:31" x14ac:dyDescent="0.2">
      <c r="R48" s="321" t="s">
        <v>213</v>
      </c>
      <c r="S48" s="319">
        <f>T27</f>
        <v>7.5174219890188354E-3</v>
      </c>
      <c r="T48" s="322">
        <f>V27</f>
        <v>3.5290254266570065E-2</v>
      </c>
      <c r="U48" s="285"/>
      <c r="V48" s="285"/>
      <c r="W48" s="285"/>
      <c r="X48" s="285"/>
      <c r="Y48" s="285"/>
      <c r="Z48" s="285"/>
      <c r="AA48" s="285"/>
      <c r="AB48" s="284"/>
      <c r="AC48" s="284"/>
      <c r="AD48" s="284"/>
    </row>
    <row r="49" spans="2:32" x14ac:dyDescent="0.2">
      <c r="R49" s="321" t="s">
        <v>212</v>
      </c>
      <c r="S49" s="319">
        <f>T26</f>
        <v>-3.4066809629869077E-2</v>
      </c>
      <c r="T49" s="322">
        <f>V26</f>
        <v>-0.29074779901630876</v>
      </c>
      <c r="U49" s="285"/>
      <c r="V49" s="285"/>
      <c r="W49" s="285"/>
      <c r="X49" s="285"/>
      <c r="Y49" s="285"/>
      <c r="Z49" s="285"/>
      <c r="AA49" s="285"/>
      <c r="AB49" s="284"/>
      <c r="AC49" s="284"/>
      <c r="AD49" s="284"/>
    </row>
    <row r="50" spans="2:32" x14ac:dyDescent="0.2">
      <c r="R50" s="307"/>
      <c r="S50" s="307"/>
      <c r="T50" s="285"/>
      <c r="U50" s="285"/>
      <c r="V50" s="285"/>
      <c r="W50" s="285"/>
      <c r="X50" s="285"/>
      <c r="Y50" s="285"/>
      <c r="Z50" s="285"/>
      <c r="AA50" s="285"/>
      <c r="AB50" s="284"/>
      <c r="AC50" s="284"/>
      <c r="AD50" s="284"/>
    </row>
    <row r="51" spans="2:32" x14ac:dyDescent="0.2">
      <c r="R51" s="136"/>
      <c r="S51" s="136"/>
      <c r="T51" s="310"/>
      <c r="U51" s="310"/>
      <c r="V51" s="310"/>
      <c r="W51" s="310"/>
      <c r="X51" s="310"/>
      <c r="Y51" s="310"/>
      <c r="Z51" s="310"/>
      <c r="AA51" s="310"/>
    </row>
    <row r="52" spans="2:32" x14ac:dyDescent="0.2">
      <c r="R52" s="136"/>
      <c r="S52" s="136"/>
      <c r="T52" s="310"/>
      <c r="U52" s="310"/>
      <c r="V52" s="310"/>
      <c r="W52" s="310"/>
      <c r="X52" s="310"/>
      <c r="Y52" s="310"/>
      <c r="Z52" s="310"/>
      <c r="AA52" s="310"/>
    </row>
    <row r="53" spans="2:32" ht="13.5" thickBot="1" x14ac:dyDescent="0.25">
      <c r="B53" s="60" t="s">
        <v>1094</v>
      </c>
      <c r="R53" s="282" t="s">
        <v>1095</v>
      </c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</row>
    <row r="55" spans="2:32" x14ac:dyDescent="0.2"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</row>
    <row r="56" spans="2:32" x14ac:dyDescent="0.2">
      <c r="R56" s="323" t="s">
        <v>1096</v>
      </c>
      <c r="S56" s="324" t="s">
        <v>226</v>
      </c>
      <c r="T56" s="324">
        <v>2018</v>
      </c>
      <c r="U56" s="324">
        <v>2019</v>
      </c>
      <c r="V56" s="324">
        <v>2020</v>
      </c>
      <c r="W56" s="324">
        <v>2021</v>
      </c>
      <c r="X56" s="325"/>
      <c r="Y56" s="324" t="s">
        <v>625</v>
      </c>
      <c r="Z56" s="324" t="s">
        <v>625</v>
      </c>
      <c r="AA56" s="324" t="s">
        <v>625</v>
      </c>
      <c r="AB56" s="476">
        <v>2018</v>
      </c>
      <c r="AC56" s="477" t="s">
        <v>697</v>
      </c>
      <c r="AD56" s="477" t="s">
        <v>700</v>
      </c>
      <c r="AE56" s="480"/>
    </row>
    <row r="57" spans="2:32" x14ac:dyDescent="0.2">
      <c r="R57" s="311"/>
      <c r="S57" s="311"/>
      <c r="T57" s="312" t="s">
        <v>188</v>
      </c>
      <c r="U57" s="312" t="s">
        <v>188</v>
      </c>
      <c r="V57" s="312" t="s">
        <v>188</v>
      </c>
      <c r="W57" s="312" t="s">
        <v>188</v>
      </c>
      <c r="X57" s="285"/>
      <c r="Y57" s="312" t="s">
        <v>188</v>
      </c>
      <c r="Z57" s="312" t="s">
        <v>1109</v>
      </c>
      <c r="AA57" s="312" t="s">
        <v>1110</v>
      </c>
      <c r="AB57" s="311" t="s">
        <v>1110</v>
      </c>
      <c r="AC57" s="311" t="s">
        <v>1110</v>
      </c>
      <c r="AD57" s="311" t="s">
        <v>1110</v>
      </c>
      <c r="AE57" s="311"/>
    </row>
    <row r="58" spans="2:32" x14ac:dyDescent="0.2">
      <c r="R58" s="321" t="s">
        <v>1097</v>
      </c>
      <c r="S58" s="311">
        <v>1</v>
      </c>
      <c r="T58" s="313">
        <v>4600.2849999999999</v>
      </c>
      <c r="U58" s="313">
        <v>4645.8404810000002</v>
      </c>
      <c r="V58" s="313">
        <v>5166.7137149999999</v>
      </c>
      <c r="W58" s="313">
        <v>5466.5404330000001</v>
      </c>
      <c r="X58" s="291"/>
      <c r="Y58" s="313">
        <v>4588.7384689999999</v>
      </c>
      <c r="Z58" s="313">
        <f>Y58/$Y$19*100</f>
        <v>13.04542327503537</v>
      </c>
      <c r="AA58" s="313">
        <f>Y58/$Y$20*100</f>
        <v>5.1273513458248638</v>
      </c>
      <c r="AB58" s="474">
        <f>T58/$T$20*100</f>
        <v>5.0932845361949948</v>
      </c>
      <c r="AC58" s="474">
        <f>U58/$U$20*100</f>
        <v>4.802536737178686</v>
      </c>
      <c r="AD58" s="478">
        <f>W58/$W$20*100</f>
        <v>5.0105704086855534</v>
      </c>
    </row>
    <row r="59" spans="2:32" x14ac:dyDescent="0.2">
      <c r="R59" s="321" t="s">
        <v>1098</v>
      </c>
      <c r="S59" s="311">
        <v>2</v>
      </c>
      <c r="T59" s="313">
        <v>1041.75</v>
      </c>
      <c r="U59" s="313">
        <v>1149.897577</v>
      </c>
      <c r="V59" s="313">
        <v>1335.5423290000001</v>
      </c>
      <c r="W59" s="313">
        <v>1554.4413569999999</v>
      </c>
      <c r="X59" s="291"/>
      <c r="Y59" s="313">
        <v>1025.5033559999999</v>
      </c>
      <c r="Z59" s="313">
        <f t="shared" ref="Z59:Z68" si="11">Y59/$Y$19*100</f>
        <v>2.9154255443772783</v>
      </c>
      <c r="AA59" s="313">
        <f>Y59/$Y$20*100</f>
        <v>1.1458739799743674</v>
      </c>
      <c r="AB59" s="474">
        <f>T59/$T$20*100</f>
        <v>1.1533914019633862</v>
      </c>
      <c r="AC59" s="474">
        <f t="shared" ref="AC59:AC61" si="12">U59/$U$20*100</f>
        <v>1.1886816562299563</v>
      </c>
      <c r="AD59" s="478">
        <f t="shared" ref="AD59:AD68" si="13">W59/$W$20*100</f>
        <v>1.424783729468706</v>
      </c>
      <c r="AF59" s="305"/>
    </row>
    <row r="60" spans="2:32" x14ac:dyDescent="0.2">
      <c r="R60" s="321" t="s">
        <v>1099</v>
      </c>
      <c r="S60" s="311">
        <v>3</v>
      </c>
      <c r="T60" s="313">
        <v>1949.41</v>
      </c>
      <c r="U60" s="313">
        <v>1971.1112680000001</v>
      </c>
      <c r="V60" s="313">
        <v>1970.471325</v>
      </c>
      <c r="W60" s="313">
        <v>1983.2113549999999</v>
      </c>
      <c r="X60" s="291"/>
      <c r="Y60" s="313">
        <v>1840.664679</v>
      </c>
      <c r="Z60" s="313">
        <f t="shared" si="11"/>
        <v>5.2328651997016022</v>
      </c>
      <c r="AA60" s="313">
        <f>Y60/$Y$20*100</f>
        <v>2.0567165862341374</v>
      </c>
      <c r="AB60" s="474">
        <f>T60/$T$20*100</f>
        <v>2.1583227577647657</v>
      </c>
      <c r="AC60" s="474">
        <f t="shared" si="12"/>
        <v>2.0375934809537992</v>
      </c>
      <c r="AD60" s="478">
        <f t="shared" si="13"/>
        <v>1.8177895602024863</v>
      </c>
    </row>
    <row r="61" spans="2:32" x14ac:dyDescent="0.2">
      <c r="R61" s="321" t="s">
        <v>1100</v>
      </c>
      <c r="S61" s="311">
        <v>4</v>
      </c>
      <c r="T61" s="313">
        <v>3495.5929999999998</v>
      </c>
      <c r="U61" s="313">
        <v>3835.9167310000003</v>
      </c>
      <c r="V61" s="313">
        <v>4972.7647079999997</v>
      </c>
      <c r="W61" s="313">
        <v>4894.3870889999998</v>
      </c>
      <c r="X61" s="291"/>
      <c r="Y61" s="313">
        <v>3213.1192850000002</v>
      </c>
      <c r="Z61" s="313">
        <f t="shared" si="11"/>
        <v>9.1346459139430216</v>
      </c>
      <c r="AA61" s="313">
        <f t="shared" ref="AA61" si="14">Y61/$Y$20*100</f>
        <v>3.5902659525137075</v>
      </c>
      <c r="AB61" s="474">
        <f>T61/$T$20*100</f>
        <v>3.8702058180594174</v>
      </c>
      <c r="AC61" s="474">
        <f t="shared" si="12"/>
        <v>3.965295643861749</v>
      </c>
      <c r="AD61" s="478">
        <f t="shared" si="13"/>
        <v>4.4861409912480239</v>
      </c>
    </row>
    <row r="62" spans="2:32" x14ac:dyDescent="0.2">
      <c r="R62" s="321" t="s">
        <v>1101</v>
      </c>
      <c r="S62" s="311">
        <v>5</v>
      </c>
      <c r="T62" s="313">
        <v>614.08699999999999</v>
      </c>
      <c r="U62" s="313">
        <v>581.23850100000004</v>
      </c>
      <c r="V62" s="313">
        <v>615.48781399999996</v>
      </c>
      <c r="W62" s="313">
        <v>620.89035799999999</v>
      </c>
      <c r="X62" s="291"/>
      <c r="Y62" s="313">
        <v>563.03686200000004</v>
      </c>
      <c r="Z62" s="313">
        <f t="shared" si="11"/>
        <v>1.6006696031727317</v>
      </c>
      <c r="AA62" s="313">
        <f>Y62/$Y$20*100</f>
        <v>0.62912450374488937</v>
      </c>
      <c r="AB62" s="474">
        <f>T62/$T$20*100</f>
        <v>0.67989696746579309</v>
      </c>
      <c r="AC62" s="474">
        <f>U62/$U$20*100</f>
        <v>0.60084268186374057</v>
      </c>
      <c r="AD62" s="478">
        <f t="shared" si="13"/>
        <v>0.56910122461596346</v>
      </c>
    </row>
    <row r="63" spans="2:32" x14ac:dyDescent="0.2">
      <c r="R63" s="321" t="s">
        <v>1102</v>
      </c>
      <c r="S63" s="311">
        <v>6</v>
      </c>
      <c r="T63" s="313">
        <v>460.202</v>
      </c>
      <c r="U63" s="313">
        <v>375.285348</v>
      </c>
      <c r="V63" s="313">
        <v>401.34150899999997</v>
      </c>
      <c r="W63" s="313">
        <v>405.49116400000003</v>
      </c>
      <c r="X63" s="291"/>
      <c r="Y63" s="313">
        <v>434.83</v>
      </c>
      <c r="Z63" s="313">
        <f t="shared" si="11"/>
        <v>1.2361875580849604</v>
      </c>
      <c r="AA63" s="313">
        <f t="shared" ref="AA63:AA66" si="15">Y63/$Y$20*100</f>
        <v>0.48586909033211795</v>
      </c>
      <c r="AB63" s="474">
        <f t="shared" ref="AB63:AB66" si="16">T63/$T$20*100</f>
        <v>0.50952054712393013</v>
      </c>
      <c r="AC63" s="474">
        <f t="shared" ref="AC63:AC68" si="17">U63/$U$20*100</f>
        <v>0.3879430811423264</v>
      </c>
      <c r="AD63" s="478">
        <f t="shared" si="13"/>
        <v>0.37166870934618784</v>
      </c>
    </row>
    <row r="64" spans="2:32" x14ac:dyDescent="0.2">
      <c r="R64" s="321" t="s">
        <v>1103</v>
      </c>
      <c r="S64" s="311">
        <v>7</v>
      </c>
      <c r="T64" s="313">
        <v>6508.9620000000004</v>
      </c>
      <c r="U64" s="313">
        <v>6918.9494709999999</v>
      </c>
      <c r="V64" s="313">
        <v>6910.312602</v>
      </c>
      <c r="W64" s="313">
        <v>7101.1141710000002</v>
      </c>
      <c r="X64" s="291"/>
      <c r="Y64" s="313">
        <v>6540.9263629999996</v>
      </c>
      <c r="Z64" s="313">
        <f t="shared" si="11"/>
        <v>18.595340220984088</v>
      </c>
      <c r="AA64" s="313">
        <f t="shared" si="15"/>
        <v>7.3086814201416157</v>
      </c>
      <c r="AB64" s="474">
        <f t="shared" si="16"/>
        <v>7.2065090535218683</v>
      </c>
      <c r="AC64" s="474">
        <f t="shared" si="17"/>
        <v>7.1523138069536616</v>
      </c>
      <c r="AD64" s="478">
        <f t="shared" si="13"/>
        <v>6.5088025909622402</v>
      </c>
    </row>
    <row r="65" spans="2:31" x14ac:dyDescent="0.2">
      <c r="R65" s="321" t="s">
        <v>1104</v>
      </c>
      <c r="S65" s="311">
        <v>8</v>
      </c>
      <c r="T65" s="313">
        <v>1032.982</v>
      </c>
      <c r="U65" s="313">
        <v>900.38383199999998</v>
      </c>
      <c r="V65" s="313">
        <v>926.66242599999998</v>
      </c>
      <c r="W65" s="313">
        <v>939.05777699999999</v>
      </c>
      <c r="X65" s="291"/>
      <c r="Y65" s="313">
        <v>934.55781999999999</v>
      </c>
      <c r="Z65" s="313">
        <f t="shared" si="11"/>
        <v>2.6568745242853624</v>
      </c>
      <c r="AA65" s="313">
        <f t="shared" si="15"/>
        <v>1.0442535194585636</v>
      </c>
      <c r="AB65" s="474">
        <f t="shared" si="16"/>
        <v>1.1436837601948091</v>
      </c>
      <c r="AC65" s="474">
        <f t="shared" si="17"/>
        <v>0.93075223921828887</v>
      </c>
      <c r="AD65" s="478">
        <f t="shared" si="13"/>
        <v>0.8607299565696338</v>
      </c>
    </row>
    <row r="66" spans="2:31" x14ac:dyDescent="0.2">
      <c r="R66" s="321" t="s">
        <v>1105</v>
      </c>
      <c r="S66" s="311">
        <v>9</v>
      </c>
      <c r="T66" s="313">
        <v>3646.288</v>
      </c>
      <c r="U66" s="313">
        <v>3970.5145750000001</v>
      </c>
      <c r="V66" s="313">
        <v>4263.0284839999995</v>
      </c>
      <c r="W66" s="313">
        <v>4475.9014619999998</v>
      </c>
      <c r="X66" s="291"/>
      <c r="Y66" s="313">
        <v>3504.7309089999999</v>
      </c>
      <c r="Z66" s="313">
        <f t="shared" si="11"/>
        <v>9.9636748709647307</v>
      </c>
      <c r="AA66" s="313">
        <f t="shared" si="15"/>
        <v>3.9161061072480901</v>
      </c>
      <c r="AB66" s="474">
        <f t="shared" si="16"/>
        <v>4.0370503751209705</v>
      </c>
      <c r="AC66" s="474">
        <f t="shared" si="17"/>
        <v>4.1044332430106349</v>
      </c>
      <c r="AD66" s="478">
        <f t="shared" si="13"/>
        <v>4.1025617010541193</v>
      </c>
    </row>
    <row r="67" spans="2:31" x14ac:dyDescent="0.2">
      <c r="R67" s="727" t="s">
        <v>1106</v>
      </c>
      <c r="S67" s="324">
        <v>10</v>
      </c>
      <c r="T67" s="326">
        <v>12581.458000000001</v>
      </c>
      <c r="U67" s="326">
        <v>12909.087278000001</v>
      </c>
      <c r="V67" s="326">
        <v>13182.439766</v>
      </c>
      <c r="W67" s="326">
        <v>13417.239202999999</v>
      </c>
      <c r="X67" s="327"/>
      <c r="Y67" s="326">
        <v>12528.97529</v>
      </c>
      <c r="Z67" s="326">
        <f t="shared" si="11"/>
        <v>35.618893289450845</v>
      </c>
      <c r="AA67" s="326">
        <f>Y67/$Y$20*100</f>
        <v>13.999590246638649</v>
      </c>
      <c r="AB67" s="475">
        <f>T67/$T$20*100</f>
        <v>13.929777279926528</v>
      </c>
      <c r="AC67" s="475">
        <f t="shared" si="17"/>
        <v>13.344488720520282</v>
      </c>
      <c r="AD67" s="479">
        <f t="shared" si="13"/>
        <v>12.298092832346114</v>
      </c>
    </row>
    <row r="68" spans="2:31" x14ac:dyDescent="0.2">
      <c r="R68" s="728" t="s">
        <v>1107</v>
      </c>
      <c r="S68" s="311" t="s">
        <v>33</v>
      </c>
      <c r="T68" s="313">
        <v>35931.017</v>
      </c>
      <c r="U68" s="313">
        <v>37258.225061999998</v>
      </c>
      <c r="V68" s="313">
        <v>39744.764677999992</v>
      </c>
      <c r="W68" s="313">
        <v>40858.274368999999</v>
      </c>
      <c r="X68" s="285"/>
      <c r="Y68" s="313">
        <v>35175.083033000003</v>
      </c>
      <c r="Z68" s="313">
        <f t="shared" si="11"/>
        <v>100</v>
      </c>
      <c r="AA68" s="313">
        <f>Y68/$Y$20*100</f>
        <v>39.303832752111006</v>
      </c>
      <c r="AB68" s="474">
        <f t="shared" ref="AB68" si="18">T68/$T$20*100</f>
        <v>39.781642497336463</v>
      </c>
      <c r="AC68" s="474">
        <f t="shared" si="17"/>
        <v>38.514881290933118</v>
      </c>
      <c r="AD68" s="478">
        <f t="shared" si="13"/>
        <v>37.450241704499028</v>
      </c>
    </row>
    <row r="69" spans="2:31" ht="13.5" thickBot="1" x14ac:dyDescent="0.25">
      <c r="B69" s="687" t="s">
        <v>1148</v>
      </c>
      <c r="C69" s="286"/>
      <c r="D69" s="287"/>
      <c r="E69" s="521"/>
      <c r="F69" s="287"/>
      <c r="G69" s="287"/>
      <c r="H69" s="287"/>
      <c r="I69" s="287"/>
      <c r="J69" s="287"/>
      <c r="R69" s="315" t="s">
        <v>1108</v>
      </c>
      <c r="S69" s="311">
        <v>1000</v>
      </c>
      <c r="T69" s="313">
        <v>90320.596999999994</v>
      </c>
      <c r="U69" s="313">
        <v>96737.218999999997</v>
      </c>
      <c r="V69" s="313">
        <v>103025.534</v>
      </c>
      <c r="W69" s="313">
        <v>109100.162</v>
      </c>
      <c r="X69" s="306"/>
      <c r="Y69" s="313">
        <f>Y70</f>
        <v>89495.3</v>
      </c>
      <c r="Z69" s="313"/>
      <c r="AA69" s="313"/>
      <c r="AB69" s="284"/>
      <c r="AC69" s="284"/>
      <c r="AD69" s="285"/>
      <c r="AE69" s="6"/>
    </row>
    <row r="70" spans="2:31" ht="26.25" thickBot="1" x14ac:dyDescent="0.25">
      <c r="B70" s="288" t="s">
        <v>1096</v>
      </c>
      <c r="C70" s="289" t="s">
        <v>1128</v>
      </c>
      <c r="D70" s="458" t="s">
        <v>695</v>
      </c>
      <c r="E70" s="510" t="s">
        <v>1129</v>
      </c>
      <c r="F70" s="519" t="s">
        <v>1130</v>
      </c>
      <c r="G70" s="514" t="s">
        <v>624</v>
      </c>
      <c r="H70" s="510" t="s">
        <v>694</v>
      </c>
      <c r="I70" s="310"/>
      <c r="R70" s="290"/>
      <c r="S70" s="285"/>
      <c r="T70" s="285"/>
      <c r="U70" s="291"/>
      <c r="V70" s="285"/>
      <c r="W70" s="292"/>
      <c r="X70" s="285"/>
      <c r="Y70" s="285">
        <v>89495.3</v>
      </c>
      <c r="Z70" s="285"/>
      <c r="AA70" s="285"/>
      <c r="AB70" s="285"/>
      <c r="AC70" s="285"/>
      <c r="AD70" s="285"/>
      <c r="AE70" s="6"/>
    </row>
    <row r="71" spans="2:31" ht="13.5" thickBot="1" x14ac:dyDescent="0.25">
      <c r="B71" s="293"/>
      <c r="C71" s="294"/>
      <c r="D71" s="295" t="s">
        <v>1110</v>
      </c>
      <c r="E71" s="295" t="s">
        <v>1110</v>
      </c>
      <c r="F71" s="295" t="s">
        <v>1110</v>
      </c>
      <c r="G71" s="295" t="s">
        <v>1110</v>
      </c>
      <c r="H71" s="295" t="s">
        <v>1110</v>
      </c>
      <c r="I71" s="310"/>
      <c r="R71" s="285"/>
      <c r="S71" s="285"/>
      <c r="T71" s="285"/>
      <c r="U71" s="285"/>
      <c r="V71" s="285"/>
      <c r="W71" s="285"/>
      <c r="X71" s="285"/>
      <c r="Y71" s="307"/>
      <c r="Z71" s="307"/>
      <c r="AA71" s="307"/>
      <c r="AB71" s="55"/>
      <c r="AC71" s="284"/>
      <c r="AD71" s="285"/>
      <c r="AE71" s="6"/>
    </row>
    <row r="72" spans="2:31" ht="25.5" x14ac:dyDescent="0.2">
      <c r="B72" s="296" t="s">
        <v>1097</v>
      </c>
      <c r="C72" s="297">
        <v>1</v>
      </c>
      <c r="D72" s="298" t="s">
        <v>1132</v>
      </c>
      <c r="E72" s="309">
        <f>AC58</f>
        <v>4.802536737178686</v>
      </c>
      <c r="F72" s="309">
        <f>AD58</f>
        <v>5.0105704086855534</v>
      </c>
      <c r="G72" s="516" t="s">
        <v>1008</v>
      </c>
      <c r="H72" s="512" t="s">
        <v>1133</v>
      </c>
      <c r="I72" s="310"/>
      <c r="R72" s="299" t="s">
        <v>1111</v>
      </c>
      <c r="S72" s="285"/>
      <c r="T72" s="285"/>
      <c r="U72" s="285"/>
      <c r="V72" s="285"/>
      <c r="W72" s="285"/>
      <c r="X72" s="285"/>
      <c r="Y72" s="307"/>
      <c r="Z72" s="307"/>
      <c r="AA72" s="307"/>
      <c r="AB72" s="55"/>
      <c r="AC72" s="284"/>
      <c r="AD72" s="284"/>
      <c r="AE72" s="6"/>
    </row>
    <row r="73" spans="2:31" x14ac:dyDescent="0.2">
      <c r="B73" s="296" t="s">
        <v>1098</v>
      </c>
      <c r="C73" s="297">
        <v>2</v>
      </c>
      <c r="D73" s="298">
        <v>1</v>
      </c>
      <c r="E73" s="309">
        <f t="shared" ref="E73:E75" si="19">AC59</f>
        <v>1.1886816562299563</v>
      </c>
      <c r="F73" s="309">
        <f t="shared" ref="F73:F82" si="20">AD59</f>
        <v>1.424783729468706</v>
      </c>
      <c r="G73" s="516">
        <v>1</v>
      </c>
      <c r="H73" s="309" t="s">
        <v>1012</v>
      </c>
      <c r="I73" s="310"/>
      <c r="R73" s="316" t="s">
        <v>227</v>
      </c>
      <c r="S73" s="316" t="s">
        <v>226</v>
      </c>
      <c r="T73" s="883" t="s">
        <v>1115</v>
      </c>
      <c r="U73" s="883"/>
      <c r="V73" s="883" t="s">
        <v>1112</v>
      </c>
      <c r="W73" s="883"/>
      <c r="X73" s="285"/>
      <c r="Y73" s="307"/>
      <c r="Z73" s="307"/>
      <c r="AA73" s="307"/>
      <c r="AB73" s="55"/>
      <c r="AC73" s="284"/>
      <c r="AD73" s="284"/>
      <c r="AE73" s="6"/>
    </row>
    <row r="74" spans="2:31" x14ac:dyDescent="0.2">
      <c r="B74" s="296" t="s">
        <v>1099</v>
      </c>
      <c r="C74" s="297">
        <v>3</v>
      </c>
      <c r="D74" s="298" t="s">
        <v>1134</v>
      </c>
      <c r="E74" s="309">
        <f t="shared" si="19"/>
        <v>2.0375934809537992</v>
      </c>
      <c r="F74" s="309">
        <f t="shared" si="20"/>
        <v>1.8177895602024863</v>
      </c>
      <c r="G74" s="516" t="s">
        <v>1030</v>
      </c>
      <c r="H74" s="309" t="s">
        <v>1135</v>
      </c>
      <c r="I74" s="310"/>
      <c r="R74" s="328"/>
      <c r="S74" s="328"/>
      <c r="T74" s="729" t="s">
        <v>1113</v>
      </c>
      <c r="U74" s="729" t="s">
        <v>1114</v>
      </c>
      <c r="V74" s="729" t="s">
        <v>1113</v>
      </c>
      <c r="W74" s="729" t="s">
        <v>1114</v>
      </c>
      <c r="X74" s="285"/>
      <c r="Y74" s="285"/>
      <c r="Z74" s="285"/>
      <c r="AA74" s="285"/>
      <c r="AB74" s="284"/>
      <c r="AC74" s="284"/>
      <c r="AD74" s="284"/>
      <c r="AE74" s="6"/>
    </row>
    <row r="75" spans="2:31" x14ac:dyDescent="0.2">
      <c r="B75" s="296" t="s">
        <v>1100</v>
      </c>
      <c r="C75" s="297">
        <v>4</v>
      </c>
      <c r="D75" s="298" t="s">
        <v>1136</v>
      </c>
      <c r="E75" s="309">
        <f t="shared" si="19"/>
        <v>3.965295643861749</v>
      </c>
      <c r="F75" s="309">
        <f t="shared" si="20"/>
        <v>4.4861409912480239</v>
      </c>
      <c r="G75" s="516" t="s">
        <v>990</v>
      </c>
      <c r="H75" s="309" t="s">
        <v>1137</v>
      </c>
      <c r="I75" s="310"/>
      <c r="R75" s="321" t="s">
        <v>1097</v>
      </c>
      <c r="S75" s="316">
        <v>1</v>
      </c>
      <c r="T75" s="318">
        <f t="shared" ref="T75:T83" si="21">AB58-AA58</f>
        <v>-3.4066809629869077E-2</v>
      </c>
      <c r="U75" s="319"/>
      <c r="V75" s="320">
        <f t="shared" ref="V75:V85" si="22">AC58-AB58</f>
        <v>-0.29074779901630876</v>
      </c>
      <c r="W75" s="320"/>
      <c r="X75" s="285"/>
      <c r="Y75" s="285"/>
      <c r="Z75" s="285"/>
      <c r="AA75" s="285"/>
      <c r="AB75" s="284"/>
      <c r="AC75" s="284"/>
      <c r="AD75" s="284"/>
      <c r="AE75" s="6"/>
    </row>
    <row r="76" spans="2:31" x14ac:dyDescent="0.2">
      <c r="B76" s="296" t="s">
        <v>1101</v>
      </c>
      <c r="C76" s="297">
        <v>5</v>
      </c>
      <c r="D76" s="298" t="s">
        <v>961</v>
      </c>
      <c r="E76" s="309">
        <f>AC62</f>
        <v>0.60084268186374057</v>
      </c>
      <c r="F76" s="309">
        <f t="shared" si="20"/>
        <v>0.56910122461596346</v>
      </c>
      <c r="G76" s="516" t="s">
        <v>984</v>
      </c>
      <c r="H76" s="309" t="s">
        <v>1033</v>
      </c>
      <c r="I76" s="310"/>
      <c r="R76" s="321" t="s">
        <v>1098</v>
      </c>
      <c r="S76" s="316">
        <v>2</v>
      </c>
      <c r="T76" s="318">
        <f t="shared" si="21"/>
        <v>7.5174219890188354E-3</v>
      </c>
      <c r="U76" s="319"/>
      <c r="V76" s="320">
        <f t="shared" si="22"/>
        <v>3.5290254266570065E-2</v>
      </c>
      <c r="W76" s="320"/>
      <c r="X76" s="285"/>
      <c r="Y76" s="285"/>
      <c r="Z76" s="285"/>
      <c r="AA76" s="285"/>
      <c r="AB76" s="284"/>
      <c r="AC76" s="284"/>
      <c r="AD76" s="284"/>
      <c r="AE76" s="6"/>
    </row>
    <row r="77" spans="2:31" x14ac:dyDescent="0.2">
      <c r="B77" s="296" t="s">
        <v>1102</v>
      </c>
      <c r="C77" s="297">
        <v>6</v>
      </c>
      <c r="D77" s="298" t="s">
        <v>984</v>
      </c>
      <c r="E77" s="309">
        <f t="shared" ref="E77:E82" si="23">AC63</f>
        <v>0.3879430811423264</v>
      </c>
      <c r="F77" s="309">
        <f t="shared" si="20"/>
        <v>0.37166870934618784</v>
      </c>
      <c r="G77" s="516" t="s">
        <v>961</v>
      </c>
      <c r="H77" s="309" t="s">
        <v>962</v>
      </c>
      <c r="I77" s="310"/>
      <c r="R77" s="321" t="s">
        <v>1099</v>
      </c>
      <c r="S77" s="316">
        <v>3</v>
      </c>
      <c r="T77" s="318">
        <f t="shared" si="21"/>
        <v>0.10160617153062823</v>
      </c>
      <c r="U77" s="319"/>
      <c r="V77" s="320">
        <f t="shared" si="22"/>
        <v>-0.12072927681096646</v>
      </c>
      <c r="W77" s="320"/>
      <c r="X77" s="285"/>
      <c r="Y77" s="285"/>
      <c r="Z77" s="285"/>
      <c r="AA77" s="285"/>
      <c r="AB77" s="284"/>
      <c r="AC77" s="284"/>
      <c r="AD77" s="284"/>
      <c r="AE77" s="6"/>
    </row>
    <row r="78" spans="2:31" x14ac:dyDescent="0.2">
      <c r="B78" s="296" t="s">
        <v>1103</v>
      </c>
      <c r="C78" s="297">
        <v>7</v>
      </c>
      <c r="D78" s="298" t="s">
        <v>973</v>
      </c>
      <c r="E78" s="309">
        <f t="shared" si="23"/>
        <v>7.1523138069536616</v>
      </c>
      <c r="F78" s="309">
        <f t="shared" si="20"/>
        <v>6.5088025909622402</v>
      </c>
      <c r="G78" s="516" t="s">
        <v>1008</v>
      </c>
      <c r="H78" s="309" t="s">
        <v>1138</v>
      </c>
      <c r="I78" s="310"/>
      <c r="R78" s="321" t="s">
        <v>1100</v>
      </c>
      <c r="S78" s="316">
        <v>4</v>
      </c>
      <c r="T78" s="318">
        <f t="shared" si="21"/>
        <v>0.27993986554570993</v>
      </c>
      <c r="U78" s="319"/>
      <c r="V78" s="320">
        <f t="shared" si="22"/>
        <v>9.5089825802331607E-2</v>
      </c>
      <c r="W78" s="320"/>
      <c r="X78" s="285"/>
      <c r="Y78" s="285"/>
      <c r="Z78" s="285"/>
      <c r="AA78" s="285"/>
      <c r="AB78" s="284"/>
      <c r="AC78" s="284"/>
      <c r="AD78" s="284"/>
      <c r="AE78" s="6"/>
    </row>
    <row r="79" spans="2:31" x14ac:dyDescent="0.2">
      <c r="B79" s="296" t="s">
        <v>1104</v>
      </c>
      <c r="C79" s="297">
        <v>8</v>
      </c>
      <c r="D79" s="298">
        <v>1</v>
      </c>
      <c r="E79" s="309">
        <f t="shared" si="23"/>
        <v>0.93075223921828887</v>
      </c>
      <c r="F79" s="309">
        <f t="shared" si="20"/>
        <v>0.8607299565696338</v>
      </c>
      <c r="G79" s="516" t="s">
        <v>1029</v>
      </c>
      <c r="H79" s="309" t="s">
        <v>1000</v>
      </c>
      <c r="I79" s="310"/>
      <c r="R79" s="321" t="s">
        <v>1101</v>
      </c>
      <c r="S79" s="316">
        <v>5</v>
      </c>
      <c r="T79" s="318">
        <f t="shared" si="21"/>
        <v>5.0772463720903716E-2</v>
      </c>
      <c r="U79" s="319"/>
      <c r="V79" s="320">
        <f t="shared" si="22"/>
        <v>-7.9054285602052521E-2</v>
      </c>
      <c r="W79" s="320"/>
      <c r="X79" s="285"/>
      <c r="Y79" s="285"/>
      <c r="Z79" s="285"/>
      <c r="AA79" s="285"/>
      <c r="AB79" s="284"/>
      <c r="AC79" s="284"/>
      <c r="AD79" s="284"/>
      <c r="AE79" s="6"/>
    </row>
    <row r="80" spans="2:31" x14ac:dyDescent="0.2">
      <c r="B80" s="296" t="s">
        <v>1105</v>
      </c>
      <c r="C80" s="297">
        <v>9</v>
      </c>
      <c r="D80" s="298" t="s">
        <v>1139</v>
      </c>
      <c r="E80" s="309">
        <f t="shared" si="23"/>
        <v>4.1044332430106349</v>
      </c>
      <c r="F80" s="309">
        <f t="shared" si="20"/>
        <v>4.1025617010541193</v>
      </c>
      <c r="G80" s="516" t="s">
        <v>1140</v>
      </c>
      <c r="H80" s="309" t="s">
        <v>1141</v>
      </c>
      <c r="I80" s="310"/>
      <c r="R80" s="321" t="s">
        <v>1102</v>
      </c>
      <c r="S80" s="316">
        <v>6</v>
      </c>
      <c r="T80" s="318">
        <f t="shared" si="21"/>
        <v>2.3651456791812187E-2</v>
      </c>
      <c r="U80" s="319"/>
      <c r="V80" s="320">
        <f t="shared" si="22"/>
        <v>-0.12157746598160374</v>
      </c>
      <c r="W80" s="320"/>
      <c r="X80" s="285"/>
      <c r="Y80" s="285"/>
      <c r="Z80" s="307"/>
      <c r="AA80" s="307"/>
      <c r="AB80" s="55"/>
      <c r="AC80" s="55"/>
      <c r="AD80" s="284"/>
      <c r="AE80" s="6"/>
    </row>
    <row r="81" spans="2:31" ht="13.5" thickBot="1" x14ac:dyDescent="0.25">
      <c r="B81" s="300" t="s">
        <v>1106</v>
      </c>
      <c r="C81" s="294">
        <v>10</v>
      </c>
      <c r="D81" s="301" t="s">
        <v>1142</v>
      </c>
      <c r="E81" s="513">
        <f t="shared" si="23"/>
        <v>13.344488720520282</v>
      </c>
      <c r="F81" s="513">
        <f t="shared" si="20"/>
        <v>12.298092832346114</v>
      </c>
      <c r="G81" s="517" t="s">
        <v>981</v>
      </c>
      <c r="H81" s="513">
        <v>20</v>
      </c>
      <c r="I81" s="310"/>
      <c r="R81" s="321" t="s">
        <v>1103</v>
      </c>
      <c r="S81" s="316">
        <v>7</v>
      </c>
      <c r="T81" s="318">
        <f t="shared" si="21"/>
        <v>-0.10217236661974738</v>
      </c>
      <c r="U81" s="319"/>
      <c r="V81" s="320">
        <f t="shared" si="22"/>
        <v>-5.4195246568206734E-2</v>
      </c>
      <c r="W81" s="320"/>
      <c r="X81" s="285"/>
      <c r="Y81" s="285"/>
      <c r="Z81" s="307"/>
      <c r="AA81" s="307"/>
      <c r="AB81" s="55"/>
      <c r="AC81" s="55"/>
      <c r="AD81" s="284"/>
      <c r="AE81" s="6"/>
    </row>
    <row r="82" spans="2:31" ht="13.5" thickBot="1" x14ac:dyDescent="0.25">
      <c r="B82" s="288" t="s">
        <v>1107</v>
      </c>
      <c r="C82" s="289" t="s">
        <v>33</v>
      </c>
      <c r="D82" s="302" t="s">
        <v>1143</v>
      </c>
      <c r="E82" s="520">
        <f t="shared" si="23"/>
        <v>38.514881290933118</v>
      </c>
      <c r="F82" s="520">
        <f t="shared" si="20"/>
        <v>37.450241704499028</v>
      </c>
      <c r="G82" s="518" t="s">
        <v>1144</v>
      </c>
      <c r="H82" s="520" t="s">
        <v>1145</v>
      </c>
      <c r="I82" s="310"/>
      <c r="R82" s="321" t="s">
        <v>1104</v>
      </c>
      <c r="S82" s="316">
        <v>8</v>
      </c>
      <c r="T82" s="318">
        <f t="shared" si="21"/>
        <v>9.9430240736245512E-2</v>
      </c>
      <c r="U82" s="319"/>
      <c r="V82" s="320">
        <f t="shared" si="22"/>
        <v>-0.21293152097652024</v>
      </c>
      <c r="W82" s="320"/>
      <c r="X82" s="285"/>
      <c r="Y82" s="285"/>
      <c r="Z82" s="307"/>
      <c r="AA82" s="307"/>
      <c r="AB82" s="55"/>
      <c r="AC82" s="55"/>
      <c r="AD82" s="284"/>
      <c r="AE82" s="6"/>
    </row>
    <row r="83" spans="2:31" x14ac:dyDescent="0.2">
      <c r="B83" s="882" t="s">
        <v>1131</v>
      </c>
      <c r="C83" s="882"/>
      <c r="D83" s="882"/>
      <c r="E83" s="882"/>
      <c r="F83" s="882"/>
      <c r="G83" s="882"/>
      <c r="H83" s="882"/>
      <c r="I83" s="303" t="s">
        <v>229</v>
      </c>
      <c r="J83" s="303"/>
      <c r="K83" s="303"/>
      <c r="R83" s="321" t="s">
        <v>1105</v>
      </c>
      <c r="S83" s="316">
        <v>9</v>
      </c>
      <c r="T83" s="318">
        <f t="shared" si="21"/>
        <v>0.12094426787288048</v>
      </c>
      <c r="U83" s="319"/>
      <c r="V83" s="320">
        <f t="shared" si="22"/>
        <v>6.7382867889664411E-2</v>
      </c>
      <c r="W83" s="320"/>
      <c r="X83" s="285"/>
      <c r="Y83" s="285"/>
      <c r="Z83" s="307"/>
      <c r="AA83" s="307"/>
      <c r="AB83" s="55"/>
      <c r="AC83" s="55"/>
      <c r="AD83" s="284"/>
      <c r="AE83" s="6"/>
    </row>
    <row r="84" spans="2:31" x14ac:dyDescent="0.2">
      <c r="B84" s="882"/>
      <c r="C84" s="882"/>
      <c r="D84" s="882"/>
      <c r="E84" s="882"/>
      <c r="F84" s="882"/>
      <c r="G84" s="882"/>
      <c r="H84" s="882"/>
      <c r="I84" s="304"/>
      <c r="R84" s="727" t="s">
        <v>1106</v>
      </c>
      <c r="S84" s="328">
        <v>10</v>
      </c>
      <c r="T84" s="330">
        <f>AB67-AA67</f>
        <v>-6.9812966712120783E-2</v>
      </c>
      <c r="U84" s="331"/>
      <c r="V84" s="332">
        <f t="shared" si="22"/>
        <v>-0.58528855940624602</v>
      </c>
      <c r="W84" s="332"/>
      <c r="X84" s="285"/>
      <c r="Y84" s="285"/>
      <c r="Z84" s="307"/>
      <c r="AA84" s="307"/>
      <c r="AB84" s="55"/>
      <c r="AC84" s="55"/>
      <c r="AD84" s="284"/>
    </row>
    <row r="85" spans="2:31" x14ac:dyDescent="0.2">
      <c r="B85" s="882"/>
      <c r="C85" s="882"/>
      <c r="D85" s="882"/>
      <c r="E85" s="882"/>
      <c r="F85" s="882"/>
      <c r="G85" s="882"/>
      <c r="H85" s="882"/>
      <c r="I85" s="304"/>
      <c r="R85" s="728" t="s">
        <v>1107</v>
      </c>
      <c r="S85" s="690" t="s">
        <v>33</v>
      </c>
      <c r="T85" s="318">
        <f t="shared" ref="T85" si="24">AB68-AA68</f>
        <v>0.47780974522545705</v>
      </c>
      <c r="U85" s="319"/>
      <c r="V85" s="320">
        <f t="shared" si="22"/>
        <v>-1.2667612064033449</v>
      </c>
      <c r="W85" s="320"/>
      <c r="X85" s="285"/>
      <c r="Y85" s="285"/>
      <c r="Z85" s="307"/>
      <c r="AA85" s="307"/>
      <c r="AB85" s="55"/>
      <c r="AC85" s="55"/>
      <c r="AD85" s="284"/>
    </row>
    <row r="86" spans="2:31" x14ac:dyDescent="0.2">
      <c r="B86" s="882"/>
      <c r="C86" s="882"/>
      <c r="D86" s="882"/>
      <c r="E86" s="882"/>
      <c r="F86" s="882"/>
      <c r="G86" s="882"/>
      <c r="H86" s="882"/>
      <c r="I86" s="304"/>
      <c r="R86" s="285"/>
      <c r="S86" s="285"/>
      <c r="T86" s="285"/>
      <c r="U86" s="285"/>
      <c r="V86" s="285"/>
      <c r="W86" s="285"/>
      <c r="X86" s="285"/>
      <c r="Y86" s="285"/>
      <c r="Z86" s="307"/>
      <c r="AA86" s="307"/>
      <c r="AB86" s="55"/>
      <c r="AC86" s="55"/>
      <c r="AD86" s="284"/>
    </row>
    <row r="87" spans="2:31" x14ac:dyDescent="0.2">
      <c r="B87" s="882"/>
      <c r="C87" s="882"/>
      <c r="D87" s="882"/>
      <c r="E87" s="882"/>
      <c r="F87" s="882"/>
      <c r="G87" s="882"/>
      <c r="H87" s="882"/>
      <c r="R87" s="308" t="s">
        <v>1116</v>
      </c>
      <c r="S87" s="309"/>
      <c r="T87" s="285"/>
      <c r="U87" s="309"/>
      <c r="V87" s="285"/>
      <c r="W87" s="285"/>
      <c r="X87" s="285"/>
      <c r="Y87" s="285"/>
      <c r="Z87" s="307"/>
      <c r="AA87" s="307"/>
      <c r="AB87" s="55"/>
      <c r="AC87" s="55"/>
      <c r="AD87" s="284"/>
    </row>
    <row r="88" spans="2:31" x14ac:dyDescent="0.2">
      <c r="B88" s="882"/>
      <c r="C88" s="882"/>
      <c r="D88" s="882"/>
      <c r="E88" s="882"/>
      <c r="F88" s="882"/>
      <c r="G88" s="882"/>
      <c r="H88" s="882"/>
      <c r="R88" s="333"/>
      <c r="S88" s="334" t="s">
        <v>1117</v>
      </c>
      <c r="T88" s="729" t="s">
        <v>1117</v>
      </c>
      <c r="U88" s="285"/>
      <c r="V88" s="285"/>
      <c r="W88" s="285"/>
      <c r="X88" s="285"/>
      <c r="Y88" s="285"/>
      <c r="Z88" s="307"/>
      <c r="AA88" s="307"/>
      <c r="AB88" s="55"/>
      <c r="AC88" s="55"/>
      <c r="AD88" s="284"/>
    </row>
    <row r="89" spans="2:31" x14ac:dyDescent="0.2">
      <c r="R89" s="730" t="s">
        <v>1118</v>
      </c>
      <c r="S89" s="319">
        <f>T84</f>
        <v>-6.9812966712120783E-2</v>
      </c>
      <c r="T89" s="322">
        <f>V84</f>
        <v>-0.58528855940624602</v>
      </c>
      <c r="U89" s="285"/>
      <c r="V89" s="285"/>
      <c r="W89" s="285" t="s">
        <v>223</v>
      </c>
      <c r="X89" s="285"/>
      <c r="Y89" s="285"/>
      <c r="Z89" s="307"/>
      <c r="AA89" s="307"/>
      <c r="AB89" s="55"/>
      <c r="AC89" s="55"/>
      <c r="AD89" s="284"/>
    </row>
    <row r="90" spans="2:31" x14ac:dyDescent="0.2">
      <c r="R90" s="730" t="s">
        <v>1119</v>
      </c>
      <c r="S90" s="319">
        <f>T83</f>
        <v>0.12094426787288048</v>
      </c>
      <c r="T90" s="322">
        <f>V83</f>
        <v>6.7382867889664411E-2</v>
      </c>
      <c r="U90" s="285"/>
      <c r="V90" s="285"/>
      <c r="W90" s="285"/>
      <c r="X90" s="285"/>
      <c r="Y90" s="285"/>
      <c r="Z90" s="285"/>
      <c r="AA90" s="285"/>
      <c r="AB90" s="284"/>
      <c r="AC90" s="284"/>
      <c r="AD90" s="284"/>
    </row>
    <row r="91" spans="2:31" x14ac:dyDescent="0.2">
      <c r="R91" s="730" t="s">
        <v>1120</v>
      </c>
      <c r="S91" s="319">
        <f>T82</f>
        <v>9.9430240736245512E-2</v>
      </c>
      <c r="T91" s="322">
        <f>V82</f>
        <v>-0.21293152097652024</v>
      </c>
      <c r="U91" s="285"/>
      <c r="V91" s="285"/>
      <c r="W91" s="285"/>
      <c r="X91" s="285"/>
      <c r="Y91" s="285"/>
      <c r="Z91" s="285"/>
      <c r="AA91" s="285"/>
      <c r="AB91" s="284"/>
      <c r="AC91" s="284"/>
      <c r="AD91" s="284"/>
    </row>
    <row r="92" spans="2:31" x14ac:dyDescent="0.2">
      <c r="R92" s="730" t="s">
        <v>1121</v>
      </c>
      <c r="S92" s="319">
        <f>T81</f>
        <v>-0.10217236661974738</v>
      </c>
      <c r="T92" s="322">
        <f>V81</f>
        <v>-5.4195246568206734E-2</v>
      </c>
      <c r="U92" s="285"/>
      <c r="V92" s="285"/>
      <c r="W92" s="285"/>
      <c r="X92" s="285"/>
      <c r="Y92" s="285"/>
      <c r="Z92" s="285"/>
      <c r="AA92" s="285"/>
      <c r="AB92" s="284"/>
      <c r="AC92" s="284"/>
      <c r="AD92" s="284"/>
    </row>
    <row r="93" spans="2:31" x14ac:dyDescent="0.2">
      <c r="R93" s="730" t="s">
        <v>1122</v>
      </c>
      <c r="S93" s="319">
        <f>T80</f>
        <v>2.3651456791812187E-2</v>
      </c>
      <c r="T93" s="322">
        <f>V80</f>
        <v>-0.12157746598160374</v>
      </c>
      <c r="U93" s="285"/>
      <c r="V93" s="285"/>
      <c r="W93" s="285"/>
      <c r="X93" s="285"/>
      <c r="Y93" s="285"/>
      <c r="Z93" s="285"/>
      <c r="AA93" s="285"/>
      <c r="AB93" s="284"/>
      <c r="AC93" s="284"/>
      <c r="AD93" s="284"/>
    </row>
    <row r="94" spans="2:31" x14ac:dyDescent="0.2">
      <c r="R94" s="730" t="s">
        <v>1123</v>
      </c>
      <c r="S94" s="319">
        <f>T79</f>
        <v>5.0772463720903716E-2</v>
      </c>
      <c r="T94" s="322">
        <f>V79</f>
        <v>-7.9054285602052521E-2</v>
      </c>
      <c r="U94" s="285"/>
      <c r="V94" s="285"/>
      <c r="W94" s="285"/>
      <c r="X94" s="285"/>
      <c r="Y94" s="285"/>
      <c r="Z94" s="285"/>
      <c r="AA94" s="285"/>
      <c r="AB94" s="284"/>
      <c r="AC94" s="284"/>
      <c r="AD94" s="284"/>
    </row>
    <row r="95" spans="2:31" x14ac:dyDescent="0.2">
      <c r="R95" s="730" t="s">
        <v>1124</v>
      </c>
      <c r="S95" s="319">
        <f>T78</f>
        <v>0.27993986554570993</v>
      </c>
      <c r="T95" s="322">
        <f>V78</f>
        <v>9.5089825802331607E-2</v>
      </c>
      <c r="U95" s="285"/>
      <c r="V95" s="285"/>
      <c r="W95" s="285"/>
      <c r="X95" s="285"/>
      <c r="Y95" s="285"/>
      <c r="Z95" s="285"/>
      <c r="AA95" s="285"/>
      <c r="AB95" s="284"/>
      <c r="AC95" s="284"/>
      <c r="AD95" s="284"/>
    </row>
    <row r="96" spans="2:31" x14ac:dyDescent="0.2">
      <c r="R96" s="730" t="s">
        <v>1125</v>
      </c>
      <c r="S96" s="319">
        <f>T77</f>
        <v>0.10160617153062823</v>
      </c>
      <c r="T96" s="322">
        <f>V77</f>
        <v>-0.12072927681096646</v>
      </c>
      <c r="U96" s="285"/>
      <c r="V96" s="285"/>
      <c r="W96" s="285"/>
      <c r="X96" s="285"/>
      <c r="Y96" s="285"/>
      <c r="Z96" s="285"/>
      <c r="AA96" s="285"/>
      <c r="AB96" s="284"/>
      <c r="AC96" s="284"/>
      <c r="AD96" s="284"/>
    </row>
    <row r="97" spans="18:30" x14ac:dyDescent="0.2">
      <c r="R97" s="730" t="s">
        <v>1126</v>
      </c>
      <c r="S97" s="319">
        <f>T76</f>
        <v>7.5174219890188354E-3</v>
      </c>
      <c r="T97" s="322">
        <f>V76</f>
        <v>3.5290254266570065E-2</v>
      </c>
      <c r="U97" s="285"/>
      <c r="V97" s="285"/>
      <c r="W97" s="285"/>
      <c r="X97" s="285"/>
      <c r="Y97" s="285"/>
      <c r="Z97" s="285"/>
      <c r="AA97" s="285"/>
      <c r="AB97" s="284"/>
      <c r="AC97" s="284"/>
      <c r="AD97" s="284"/>
    </row>
    <row r="98" spans="18:30" x14ac:dyDescent="0.2">
      <c r="R98" s="730" t="s">
        <v>1127</v>
      </c>
      <c r="S98" s="319">
        <f>T75</f>
        <v>-3.4066809629869077E-2</v>
      </c>
      <c r="T98" s="322">
        <f>V75</f>
        <v>-0.29074779901630876</v>
      </c>
      <c r="U98" s="285"/>
      <c r="V98" s="285"/>
      <c r="W98" s="285"/>
      <c r="X98" s="285"/>
      <c r="Y98" s="285"/>
      <c r="Z98" s="285"/>
      <c r="AA98" s="285"/>
      <c r="AB98" s="284"/>
      <c r="AC98" s="284"/>
      <c r="AD98" s="284"/>
    </row>
  </sheetData>
  <mergeCells count="6">
    <mergeCell ref="B83:H88"/>
    <mergeCell ref="B34:H39"/>
    <mergeCell ref="V24:W24"/>
    <mergeCell ref="T24:U24"/>
    <mergeCell ref="T73:U73"/>
    <mergeCell ref="V73:W73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B4:K25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9.140625" style="6"/>
    <col min="2" max="2" width="39.85546875" style="6" customWidth="1"/>
    <col min="3" max="3" width="8.42578125" style="6" customWidth="1"/>
    <col min="4" max="12" width="6.5703125" style="6" customWidth="1"/>
    <col min="13" max="16384" width="9.140625" style="6"/>
  </cols>
  <sheetData>
    <row r="4" spans="2:5" ht="13.5" thickBot="1" x14ac:dyDescent="0.25">
      <c r="B4" s="884" t="s">
        <v>686</v>
      </c>
      <c r="C4" s="884"/>
      <c r="D4" s="884"/>
      <c r="E4" s="884"/>
    </row>
    <row r="5" spans="2:5" ht="25.5" customHeight="1" thickBot="1" x14ac:dyDescent="0.25">
      <c r="B5" s="348"/>
      <c r="C5" s="349">
        <v>2019</v>
      </c>
      <c r="D5" s="349">
        <v>2020</v>
      </c>
      <c r="E5" s="349">
        <v>2021</v>
      </c>
    </row>
    <row r="6" spans="2:5" x14ac:dyDescent="0.2">
      <c r="B6" s="350" t="s">
        <v>687</v>
      </c>
      <c r="C6" s="481">
        <v>-0.1</v>
      </c>
      <c r="D6" s="481">
        <v>0</v>
      </c>
      <c r="E6" s="481">
        <v>0.2</v>
      </c>
    </row>
    <row r="7" spans="2:5" ht="13.5" thickBot="1" x14ac:dyDescent="0.25">
      <c r="B7" s="348" t="s">
        <v>688</v>
      </c>
      <c r="C7" s="2">
        <v>0.1471857559460048</v>
      </c>
      <c r="D7" s="2">
        <v>0.44348611808190697</v>
      </c>
      <c r="E7" s="2">
        <v>0.75281108869477009</v>
      </c>
    </row>
    <row r="8" spans="2:5" x14ac:dyDescent="0.2">
      <c r="B8" s="350" t="s">
        <v>1337</v>
      </c>
      <c r="C8" s="482">
        <f>C6-C7</f>
        <v>-0.24718575594600481</v>
      </c>
      <c r="D8" s="482">
        <f t="shared" ref="D8:E8" si="0">D6-D7</f>
        <v>-0.44348611808190697</v>
      </c>
      <c r="E8" s="482">
        <f t="shared" si="0"/>
        <v>-0.55281108869477014</v>
      </c>
    </row>
    <row r="9" spans="2:5" ht="17.25" customHeight="1" thickBot="1" x14ac:dyDescent="0.25">
      <c r="B9" s="351" t="s">
        <v>153</v>
      </c>
      <c r="C9" s="364">
        <v>-0.25</v>
      </c>
      <c r="D9" s="483">
        <f>D8-C8</f>
        <v>-0.19630036213590216</v>
      </c>
      <c r="E9" s="483">
        <f>E8-D8</f>
        <v>-0.10932497061286317</v>
      </c>
    </row>
    <row r="10" spans="2:5" x14ac:dyDescent="0.2">
      <c r="B10" s="885" t="s">
        <v>3</v>
      </c>
      <c r="C10" s="885"/>
      <c r="D10" s="885"/>
      <c r="E10" s="885"/>
    </row>
    <row r="11" spans="2:5" x14ac:dyDescent="0.2">
      <c r="C11" s="7"/>
      <c r="D11" s="7"/>
      <c r="E11" s="7"/>
    </row>
    <row r="12" spans="2:5" x14ac:dyDescent="0.2">
      <c r="B12" s="776" t="s">
        <v>1339</v>
      </c>
      <c r="C12" s="7"/>
      <c r="D12" s="7"/>
      <c r="E12" s="7"/>
    </row>
    <row r="13" spans="2:5" x14ac:dyDescent="0.2">
      <c r="C13" s="7"/>
      <c r="D13" s="7"/>
      <c r="E13" s="7"/>
    </row>
    <row r="14" spans="2:5" ht="13.5" thickBot="1" x14ac:dyDescent="0.25">
      <c r="B14" s="348"/>
      <c r="C14" s="349">
        <v>2019</v>
      </c>
      <c r="D14" s="349">
        <v>2020</v>
      </c>
      <c r="E14" s="349">
        <v>2021</v>
      </c>
    </row>
    <row r="15" spans="2:5" x14ac:dyDescent="0.2">
      <c r="B15" s="350" t="s">
        <v>1334</v>
      </c>
      <c r="C15" s="481">
        <f>C6</f>
        <v>-0.1</v>
      </c>
      <c r="D15" s="481">
        <f t="shared" ref="D15:E15" si="1">D6</f>
        <v>0</v>
      </c>
      <c r="E15" s="481">
        <f t="shared" si="1"/>
        <v>0.2</v>
      </c>
    </row>
    <row r="16" spans="2:5" ht="13.5" thickBot="1" x14ac:dyDescent="0.25">
      <c r="B16" s="777" t="s">
        <v>1336</v>
      </c>
      <c r="C16" s="2">
        <f t="shared" ref="C16:E16" si="2">C7</f>
        <v>0.1471857559460048</v>
      </c>
      <c r="D16" s="2">
        <f t="shared" si="2"/>
        <v>0.44348611808190697</v>
      </c>
      <c r="E16" s="2">
        <f t="shared" si="2"/>
        <v>0.75281108869477009</v>
      </c>
    </row>
    <row r="17" spans="2:11" x14ac:dyDescent="0.2">
      <c r="B17" s="350" t="s">
        <v>1338</v>
      </c>
      <c r="C17" s="482">
        <f t="shared" ref="C17:E17" si="3">C8</f>
        <v>-0.24718575594600481</v>
      </c>
      <c r="D17" s="482">
        <f t="shared" si="3"/>
        <v>-0.44348611808190697</v>
      </c>
      <c r="E17" s="482">
        <f t="shared" si="3"/>
        <v>-0.55281108869477014</v>
      </c>
    </row>
    <row r="18" spans="2:11" ht="13.5" thickBot="1" x14ac:dyDescent="0.25">
      <c r="B18" s="351" t="s">
        <v>1335</v>
      </c>
      <c r="C18" s="364">
        <f t="shared" ref="C18:E18" si="4">C9</f>
        <v>-0.25</v>
      </c>
      <c r="D18" s="483">
        <f t="shared" si="4"/>
        <v>-0.19630036213590216</v>
      </c>
      <c r="E18" s="483">
        <f t="shared" si="4"/>
        <v>-0.10932497061286317</v>
      </c>
    </row>
    <row r="19" spans="2:11" x14ac:dyDescent="0.2">
      <c r="B19" s="885" t="s">
        <v>1194</v>
      </c>
      <c r="C19" s="885"/>
      <c r="D19" s="885"/>
      <c r="E19" s="885"/>
    </row>
    <row r="20" spans="2:11" x14ac:dyDescent="0.2">
      <c r="C20" s="7"/>
      <c r="D20" s="7"/>
      <c r="E20" s="7"/>
    </row>
    <row r="21" spans="2:11" x14ac:dyDescent="0.2">
      <c r="C21" s="7"/>
      <c r="D21" s="7"/>
      <c r="E21" s="7"/>
    </row>
    <row r="22" spans="2:11" x14ac:dyDescent="0.2">
      <c r="C22" s="7"/>
      <c r="D22" s="7"/>
      <c r="E22" s="7"/>
    </row>
    <row r="23" spans="2:11" x14ac:dyDescent="0.2">
      <c r="C23" s="7"/>
      <c r="D23" s="7"/>
      <c r="E23" s="7"/>
    </row>
    <row r="24" spans="2:11" x14ac:dyDescent="0.2">
      <c r="C24" s="7"/>
      <c r="D24" s="7"/>
      <c r="E24" s="7"/>
    </row>
    <row r="25" spans="2:11" ht="15" customHeight="1" x14ac:dyDescent="0.2">
      <c r="C25" s="7"/>
      <c r="D25" s="7"/>
      <c r="E25" s="7"/>
      <c r="F25" s="132"/>
      <c r="G25" s="132"/>
      <c r="H25" s="132"/>
      <c r="I25" s="132"/>
      <c r="J25" s="132"/>
      <c r="K25" s="132"/>
    </row>
  </sheetData>
  <mergeCells count="3">
    <mergeCell ref="B4:E4"/>
    <mergeCell ref="B10:E10"/>
    <mergeCell ref="B19:E19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B4:AX46"/>
  <sheetViews>
    <sheetView showGridLines="0" zoomScaleNormal="100" workbookViewId="0">
      <selection activeCell="L48" sqref="L48"/>
    </sheetView>
  </sheetViews>
  <sheetFormatPr defaultColWidth="9.140625" defaultRowHeight="12.75" x14ac:dyDescent="0.2"/>
  <cols>
    <col min="1" max="8" width="9.140625" style="6"/>
    <col min="9" max="9" width="14.7109375" style="6" customWidth="1"/>
    <col min="10" max="10" width="15.5703125" style="6" customWidth="1"/>
    <col min="11" max="11" width="10.140625" style="6" customWidth="1"/>
    <col min="12" max="12" width="10" style="6" customWidth="1"/>
    <col min="13" max="16384" width="9.140625" style="6"/>
  </cols>
  <sheetData>
    <row r="4" spans="2:50" ht="28.5" customHeight="1" x14ac:dyDescent="0.2">
      <c r="B4" s="886" t="s">
        <v>788</v>
      </c>
      <c r="C4" s="886"/>
      <c r="D4" s="886"/>
      <c r="E4" s="886"/>
      <c r="F4" s="886"/>
      <c r="G4" s="886"/>
      <c r="H4" s="352" t="s">
        <v>237</v>
      </c>
      <c r="I4" s="353" t="s">
        <v>247</v>
      </c>
      <c r="J4" s="353" t="s">
        <v>248</v>
      </c>
      <c r="K4" s="353" t="s">
        <v>249</v>
      </c>
      <c r="L4" s="353" t="s">
        <v>250</v>
      </c>
      <c r="M4" s="353" t="s">
        <v>251</v>
      </c>
      <c r="N4" s="353" t="s">
        <v>252</v>
      </c>
      <c r="O4" s="353" t="s">
        <v>253</v>
      </c>
      <c r="P4" s="353" t="s">
        <v>254</v>
      </c>
      <c r="Q4" s="353" t="s">
        <v>255</v>
      </c>
      <c r="R4" s="353" t="s">
        <v>256</v>
      </c>
      <c r="S4" s="353" t="s">
        <v>257</v>
      </c>
      <c r="T4" s="353" t="s">
        <v>258</v>
      </c>
      <c r="U4" s="353" t="s">
        <v>259</v>
      </c>
      <c r="V4" s="353" t="s">
        <v>260</v>
      </c>
      <c r="W4" s="353" t="s">
        <v>261</v>
      </c>
      <c r="X4" s="353" t="s">
        <v>262</v>
      </c>
      <c r="Y4" s="353" t="s">
        <v>263</v>
      </c>
      <c r="Z4" s="353" t="s">
        <v>264</v>
      </c>
      <c r="AA4" s="353" t="s">
        <v>265</v>
      </c>
      <c r="AB4" s="353" t="s">
        <v>266</v>
      </c>
      <c r="AC4" s="353" t="s">
        <v>267</v>
      </c>
      <c r="AD4" s="353" t="s">
        <v>268</v>
      </c>
      <c r="AE4" s="353" t="s">
        <v>269</v>
      </c>
      <c r="AF4" s="353" t="s">
        <v>270</v>
      </c>
      <c r="AG4" s="353" t="s">
        <v>271</v>
      </c>
      <c r="AH4" s="353" t="s">
        <v>272</v>
      </c>
      <c r="AI4" s="353" t="s">
        <v>273</v>
      </c>
      <c r="AJ4" s="353" t="s">
        <v>274</v>
      </c>
      <c r="AK4" s="353" t="s">
        <v>88</v>
      </c>
      <c r="AL4" s="353" t="s">
        <v>89</v>
      </c>
      <c r="AM4" s="353" t="s">
        <v>90</v>
      </c>
      <c r="AN4" s="353" t="s">
        <v>91</v>
      </c>
      <c r="AO4" s="353" t="s">
        <v>92</v>
      </c>
      <c r="AP4" s="353" t="s">
        <v>93</v>
      </c>
      <c r="AQ4" s="353" t="s">
        <v>281</v>
      </c>
      <c r="AR4" s="353" t="s">
        <v>282</v>
      </c>
      <c r="AS4" s="353" t="s">
        <v>283</v>
      </c>
      <c r="AT4" s="353" t="s">
        <v>284</v>
      </c>
      <c r="AU4" s="353" t="s">
        <v>593</v>
      </c>
      <c r="AV4" s="353" t="s">
        <v>594</v>
      </c>
      <c r="AW4" s="353" t="s">
        <v>595</v>
      </c>
      <c r="AX4" s="353" t="s">
        <v>596</v>
      </c>
    </row>
    <row r="5" spans="2:50" x14ac:dyDescent="0.2">
      <c r="H5" s="354" t="s">
        <v>187</v>
      </c>
      <c r="I5" s="6">
        <v>10.3</v>
      </c>
      <c r="J5" s="6">
        <v>10.1</v>
      </c>
      <c r="K5" s="6">
        <v>9.1</v>
      </c>
      <c r="L5" s="6">
        <v>8.9</v>
      </c>
      <c r="M5" s="6">
        <v>10.199999999999999</v>
      </c>
      <c r="N5" s="6">
        <v>11.4</v>
      </c>
      <c r="O5" s="6">
        <v>12.8</v>
      </c>
      <c r="P5" s="6">
        <v>14.1</v>
      </c>
      <c r="Q5" s="6">
        <v>14.9</v>
      </c>
      <c r="R5" s="6">
        <v>14.7</v>
      </c>
      <c r="S5" s="6">
        <v>14.3</v>
      </c>
      <c r="T5" s="6">
        <v>13.9</v>
      </c>
      <c r="U5" s="6">
        <v>13.8</v>
      </c>
      <c r="V5" s="6">
        <v>13.7</v>
      </c>
      <c r="W5" s="6">
        <v>13.6</v>
      </c>
      <c r="X5" s="6">
        <v>13.7</v>
      </c>
      <c r="Y5" s="6">
        <v>13.8</v>
      </c>
      <c r="Z5" s="6">
        <v>13.9</v>
      </c>
      <c r="AA5" s="6">
        <v>14</v>
      </c>
      <c r="AB5" s="6">
        <v>14.3</v>
      </c>
      <c r="AC5" s="6">
        <v>14.3</v>
      </c>
      <c r="AD5" s="6">
        <v>14.3</v>
      </c>
      <c r="AE5" s="6">
        <v>14.2</v>
      </c>
      <c r="AF5" s="6">
        <v>14.1</v>
      </c>
      <c r="AG5" s="6">
        <v>13.9</v>
      </c>
      <c r="AH5" s="6">
        <v>13.5</v>
      </c>
      <c r="AI5" s="6">
        <v>13</v>
      </c>
      <c r="AJ5" s="6">
        <v>12.5</v>
      </c>
      <c r="AK5" s="6">
        <v>12.2</v>
      </c>
      <c r="AL5" s="6">
        <v>11.6</v>
      </c>
      <c r="AM5" s="6">
        <v>11.3</v>
      </c>
      <c r="AN5" s="6">
        <v>10.8</v>
      </c>
      <c r="AO5" s="6">
        <v>10.4</v>
      </c>
      <c r="AP5" s="6">
        <v>9.8000000000000007</v>
      </c>
      <c r="AQ5" s="6">
        <v>9.5</v>
      </c>
      <c r="AR5" s="6">
        <v>9</v>
      </c>
      <c r="AS5" s="6">
        <v>8.6999999999999993</v>
      </c>
      <c r="AT5" s="6">
        <v>8.3000000000000007</v>
      </c>
      <c r="AU5" s="6">
        <v>7.9</v>
      </c>
      <c r="AV5" s="6">
        <v>7.6</v>
      </c>
      <c r="AW5" s="6">
        <v>7.1</v>
      </c>
      <c r="AX5" s="6">
        <v>6.9</v>
      </c>
    </row>
    <row r="6" spans="2:50" x14ac:dyDescent="0.2">
      <c r="H6" s="354" t="s">
        <v>154</v>
      </c>
      <c r="I6" s="6">
        <v>4.5</v>
      </c>
      <c r="J6" s="6">
        <v>4.4000000000000004</v>
      </c>
      <c r="K6" s="6">
        <v>4.2</v>
      </c>
      <c r="L6" s="6">
        <v>4.4000000000000004</v>
      </c>
      <c r="M6" s="6">
        <v>5.6</v>
      </c>
      <c r="N6" s="6">
        <v>6.5</v>
      </c>
      <c r="O6" s="6">
        <v>7.3</v>
      </c>
      <c r="P6" s="6">
        <v>7.4</v>
      </c>
      <c r="Q6" s="6">
        <v>7.7</v>
      </c>
      <c r="R6" s="6">
        <v>7.3</v>
      </c>
      <c r="S6" s="6">
        <v>7.1</v>
      </c>
      <c r="T6" s="6">
        <v>7</v>
      </c>
      <c r="U6" s="6">
        <v>6.9</v>
      </c>
      <c r="V6" s="6">
        <v>6.9</v>
      </c>
      <c r="W6" s="6">
        <v>6.6</v>
      </c>
      <c r="X6" s="6">
        <v>6.5</v>
      </c>
      <c r="Y6" s="6">
        <v>6.8</v>
      </c>
      <c r="Z6" s="6">
        <v>6.9</v>
      </c>
      <c r="AA6" s="6">
        <v>7</v>
      </c>
      <c r="AB6" s="6">
        <v>7.2</v>
      </c>
      <c r="AC6" s="6">
        <v>7.2</v>
      </c>
      <c r="AD6" s="6">
        <v>7</v>
      </c>
      <c r="AE6" s="6">
        <v>6.9</v>
      </c>
      <c r="AF6" s="6">
        <v>6.8</v>
      </c>
      <c r="AG6" s="6">
        <v>6.5</v>
      </c>
      <c r="AH6" s="6">
        <v>6.2</v>
      </c>
      <c r="AI6" s="6">
        <v>5.9</v>
      </c>
      <c r="AJ6" s="6">
        <v>5.8</v>
      </c>
      <c r="AK6" s="6">
        <v>5.8</v>
      </c>
      <c r="AL6" s="6">
        <v>5.2</v>
      </c>
      <c r="AM6" s="6">
        <v>4.8</v>
      </c>
      <c r="AN6" s="6">
        <v>4.5</v>
      </c>
      <c r="AO6" s="6">
        <v>4.2</v>
      </c>
      <c r="AP6" s="6">
        <v>4.0999999999999996</v>
      </c>
      <c r="AQ6" s="6">
        <v>3.9</v>
      </c>
      <c r="AR6" s="6">
        <v>3.6</v>
      </c>
      <c r="AS6" s="6">
        <v>3.3</v>
      </c>
      <c r="AT6" s="6">
        <v>3.1</v>
      </c>
      <c r="AU6" s="6">
        <v>2.7</v>
      </c>
      <c r="AV6" s="6">
        <v>2.4</v>
      </c>
      <c r="AW6" s="6">
        <v>2.2999999999999998</v>
      </c>
      <c r="AX6" s="6">
        <v>2.2999999999999998</v>
      </c>
    </row>
    <row r="7" spans="2:50" x14ac:dyDescent="0.2">
      <c r="H7" s="354" t="s">
        <v>186</v>
      </c>
      <c r="I7" s="6">
        <v>7.6</v>
      </c>
      <c r="J7" s="6">
        <v>7.6</v>
      </c>
      <c r="K7" s="6">
        <v>7.8</v>
      </c>
      <c r="L7" s="6">
        <v>8.1999999999999993</v>
      </c>
      <c r="M7" s="6">
        <v>9.1999999999999993</v>
      </c>
      <c r="N7" s="6">
        <v>9.8000000000000007</v>
      </c>
      <c r="O7" s="6">
        <v>10.4</v>
      </c>
      <c r="P7" s="6">
        <v>10.7</v>
      </c>
      <c r="Q7" s="6">
        <v>11.2</v>
      </c>
      <c r="R7" s="6">
        <v>11.3</v>
      </c>
      <c r="S7" s="6">
        <v>11.1</v>
      </c>
      <c r="T7" s="6">
        <v>11.1</v>
      </c>
      <c r="U7" s="6">
        <v>11.2</v>
      </c>
      <c r="V7" s="6">
        <v>11</v>
      </c>
      <c r="W7" s="6">
        <v>11</v>
      </c>
      <c r="X7" s="6">
        <v>11</v>
      </c>
      <c r="Y7" s="6">
        <v>11.3</v>
      </c>
      <c r="Z7" s="6">
        <v>11.1</v>
      </c>
      <c r="AA7" s="6">
        <v>10.7</v>
      </c>
      <c r="AB7" s="6">
        <v>10.9</v>
      </c>
      <c r="AC7" s="6">
        <v>10.9</v>
      </c>
      <c r="AD7" s="6">
        <v>10.3</v>
      </c>
      <c r="AE7" s="6">
        <v>10</v>
      </c>
      <c r="AF7" s="6">
        <v>9.1999999999999993</v>
      </c>
      <c r="AG7" s="6">
        <v>7.9</v>
      </c>
      <c r="AH7" s="6">
        <v>8.1</v>
      </c>
      <c r="AI7" s="6">
        <v>7.5</v>
      </c>
      <c r="AJ7" s="6">
        <v>7.3</v>
      </c>
      <c r="AK7" s="6">
        <v>7.4</v>
      </c>
      <c r="AL7" s="6">
        <v>7</v>
      </c>
      <c r="AM7" s="6">
        <v>6.6</v>
      </c>
      <c r="AN7" s="6">
        <v>6.3</v>
      </c>
      <c r="AO7" s="6">
        <v>5.7</v>
      </c>
      <c r="AP7" s="6">
        <v>5.2</v>
      </c>
      <c r="AQ7" s="6">
        <v>4.9000000000000004</v>
      </c>
      <c r="AR7" s="6">
        <v>4.5</v>
      </c>
      <c r="AS7" s="6">
        <v>4.3</v>
      </c>
      <c r="AT7" s="6">
        <v>4.3</v>
      </c>
      <c r="AU7" s="6">
        <v>4.0999999999999996</v>
      </c>
      <c r="AV7" s="6">
        <v>3.9</v>
      </c>
      <c r="AW7" s="6">
        <v>3.7</v>
      </c>
      <c r="AX7" s="6">
        <v>3.6</v>
      </c>
    </row>
    <row r="8" spans="2:50" x14ac:dyDescent="0.2">
      <c r="H8" s="354" t="s">
        <v>185</v>
      </c>
      <c r="I8" s="6">
        <v>7.5</v>
      </c>
      <c r="J8" s="6">
        <v>7.2</v>
      </c>
      <c r="K8" s="6">
        <v>6.8</v>
      </c>
      <c r="L8" s="6">
        <v>6.8</v>
      </c>
      <c r="M8" s="6">
        <v>7.6</v>
      </c>
      <c r="N8" s="6">
        <v>7.9</v>
      </c>
      <c r="O8" s="6">
        <v>8.3000000000000007</v>
      </c>
      <c r="P8" s="6">
        <v>8.6999999999999993</v>
      </c>
      <c r="Q8" s="6">
        <v>9.6999999999999993</v>
      </c>
      <c r="R8" s="6">
        <v>9.6999999999999993</v>
      </c>
      <c r="S8" s="6">
        <v>9.6</v>
      </c>
      <c r="T8" s="6">
        <v>9.5</v>
      </c>
      <c r="U8" s="6">
        <v>9.4</v>
      </c>
      <c r="V8" s="6">
        <v>9.6</v>
      </c>
      <c r="W8" s="6">
        <v>9.6999999999999993</v>
      </c>
      <c r="X8" s="6">
        <v>9.9</v>
      </c>
      <c r="Y8" s="6">
        <v>9.9</v>
      </c>
      <c r="Z8" s="6">
        <v>10</v>
      </c>
      <c r="AA8" s="6">
        <v>10.3</v>
      </c>
      <c r="AB8" s="6">
        <v>10.4</v>
      </c>
      <c r="AC8" s="6">
        <v>10.5</v>
      </c>
      <c r="AD8" s="6">
        <v>10.5</v>
      </c>
      <c r="AE8" s="6">
        <v>10.3</v>
      </c>
      <c r="AF8" s="6">
        <v>10.1</v>
      </c>
      <c r="AG8" s="6">
        <v>9.8000000000000007</v>
      </c>
      <c r="AH8" s="6">
        <v>9.1999999999999993</v>
      </c>
      <c r="AI8" s="6">
        <v>8.6</v>
      </c>
      <c r="AJ8" s="6">
        <v>8.3000000000000007</v>
      </c>
      <c r="AK8" s="6">
        <v>8</v>
      </c>
      <c r="AL8" s="6">
        <v>7.6</v>
      </c>
      <c r="AM8" s="6">
        <v>7.3</v>
      </c>
      <c r="AN8" s="6">
        <v>7</v>
      </c>
      <c r="AO8" s="6">
        <v>6.7</v>
      </c>
      <c r="AP8" s="6">
        <v>6.3</v>
      </c>
      <c r="AQ8" s="6">
        <v>6</v>
      </c>
      <c r="AR8" s="6">
        <v>5.6</v>
      </c>
      <c r="AS8" s="6">
        <v>5.3</v>
      </c>
      <c r="AT8" s="6">
        <v>5.0999999999999996</v>
      </c>
      <c r="AU8" s="6">
        <v>4.8</v>
      </c>
      <c r="AV8" s="6">
        <v>4.5</v>
      </c>
      <c r="AW8" s="6">
        <v>4</v>
      </c>
      <c r="AX8" s="6">
        <v>3.7</v>
      </c>
    </row>
    <row r="9" spans="2:50" x14ac:dyDescent="0.2">
      <c r="H9" s="354" t="s">
        <v>275</v>
      </c>
      <c r="I9" s="6">
        <v>7.3</v>
      </c>
      <c r="J9" s="6">
        <v>7.4</v>
      </c>
      <c r="K9" s="6">
        <v>7.6</v>
      </c>
      <c r="L9" s="6">
        <v>8.1</v>
      </c>
      <c r="M9" s="6">
        <v>9</v>
      </c>
      <c r="N9" s="6">
        <v>9.6</v>
      </c>
      <c r="O9" s="6">
        <v>9.9</v>
      </c>
      <c r="P9" s="6">
        <v>10.1</v>
      </c>
      <c r="Q9" s="6">
        <v>10.199999999999999</v>
      </c>
      <c r="R9" s="6">
        <v>10.3</v>
      </c>
      <c r="S9" s="6">
        <v>10.199999999999999</v>
      </c>
      <c r="T9" s="6">
        <v>10.199999999999999</v>
      </c>
      <c r="U9" s="6">
        <v>10</v>
      </c>
      <c r="V9" s="6">
        <v>10</v>
      </c>
      <c r="W9" s="6">
        <v>10.3</v>
      </c>
      <c r="X9" s="6">
        <v>10.6</v>
      </c>
      <c r="Y9" s="6">
        <v>10.9</v>
      </c>
      <c r="Z9" s="6">
        <v>11.3</v>
      </c>
      <c r="AA9" s="6">
        <v>11.5</v>
      </c>
      <c r="AB9" s="6">
        <v>11.8</v>
      </c>
      <c r="AC9" s="6">
        <v>12</v>
      </c>
      <c r="AD9" s="6">
        <v>12.1</v>
      </c>
      <c r="AE9" s="6">
        <v>12</v>
      </c>
      <c r="AF9" s="6">
        <v>11.9</v>
      </c>
      <c r="AG9" s="6">
        <v>11.9</v>
      </c>
      <c r="AH9" s="6">
        <v>11.6</v>
      </c>
      <c r="AI9" s="6">
        <v>11.5</v>
      </c>
      <c r="AJ9" s="6">
        <v>11.5</v>
      </c>
      <c r="AK9" s="6">
        <v>11.2</v>
      </c>
      <c r="AL9" s="6">
        <v>11</v>
      </c>
      <c r="AM9" s="6">
        <v>10.7</v>
      </c>
      <c r="AN9" s="6">
        <v>10.5</v>
      </c>
      <c r="AO9" s="6">
        <v>10.3</v>
      </c>
      <c r="AP9" s="6">
        <v>10.199999999999999</v>
      </c>
      <c r="AQ9" s="6">
        <v>9.9</v>
      </c>
      <c r="AR9" s="6">
        <v>9.6999999999999993</v>
      </c>
      <c r="AS9" s="6">
        <v>9.5</v>
      </c>
      <c r="AT9" s="6">
        <v>9.1</v>
      </c>
      <c r="AU9" s="6">
        <v>9</v>
      </c>
      <c r="AV9" s="6">
        <v>8.6999999999999993</v>
      </c>
      <c r="AW9" s="6">
        <v>8.6</v>
      </c>
      <c r="AX9" s="6">
        <v>8.3000000000000007</v>
      </c>
    </row>
    <row r="10" spans="2:50" x14ac:dyDescent="0.2">
      <c r="H10" s="355" t="s">
        <v>99</v>
      </c>
      <c r="I10" s="522">
        <v>6.8</v>
      </c>
      <c r="J10" s="522">
        <v>6.9</v>
      </c>
      <c r="K10" s="522">
        <v>7</v>
      </c>
      <c r="L10" s="522">
        <v>7.4</v>
      </c>
      <c r="M10" s="522">
        <v>8.3000000000000007</v>
      </c>
      <c r="N10" s="522">
        <v>8.9</v>
      </c>
      <c r="O10" s="522">
        <v>9.1999999999999993</v>
      </c>
      <c r="P10" s="522">
        <v>9.4</v>
      </c>
      <c r="Q10" s="522">
        <v>9.6999999999999993</v>
      </c>
      <c r="R10" s="522">
        <v>9.6999999999999993</v>
      </c>
      <c r="S10" s="522">
        <v>9.6</v>
      </c>
      <c r="T10" s="522">
        <v>9.6</v>
      </c>
      <c r="U10" s="522">
        <v>9.5</v>
      </c>
      <c r="V10" s="522">
        <v>9.5</v>
      </c>
      <c r="W10" s="522">
        <v>9.6999999999999993</v>
      </c>
      <c r="X10" s="522">
        <v>10</v>
      </c>
      <c r="Y10" s="522">
        <v>10.199999999999999</v>
      </c>
      <c r="Z10" s="522">
        <v>10.4</v>
      </c>
      <c r="AA10" s="522">
        <v>10.6</v>
      </c>
      <c r="AB10" s="522">
        <v>10.8</v>
      </c>
      <c r="AC10" s="522">
        <v>11</v>
      </c>
      <c r="AD10" s="522">
        <v>11</v>
      </c>
      <c r="AE10" s="522">
        <v>10.9</v>
      </c>
      <c r="AF10" s="522">
        <v>10.7</v>
      </c>
      <c r="AG10" s="522">
        <v>10.6</v>
      </c>
      <c r="AH10" s="522">
        <v>10.3</v>
      </c>
      <c r="AI10" s="522">
        <v>10.1</v>
      </c>
      <c r="AJ10" s="522">
        <v>10</v>
      </c>
      <c r="AK10" s="522">
        <v>9.8000000000000007</v>
      </c>
      <c r="AL10" s="522">
        <v>9.6</v>
      </c>
      <c r="AM10" s="522">
        <v>9.3000000000000007</v>
      </c>
      <c r="AN10" s="522">
        <v>9</v>
      </c>
      <c r="AO10" s="522">
        <v>8.8000000000000007</v>
      </c>
      <c r="AP10" s="522">
        <v>8.6999999999999993</v>
      </c>
      <c r="AQ10" s="522">
        <v>8.5</v>
      </c>
      <c r="AR10" s="522">
        <v>8.1999999999999993</v>
      </c>
      <c r="AS10" s="522">
        <v>8</v>
      </c>
      <c r="AT10" s="522">
        <v>7.7</v>
      </c>
      <c r="AU10" s="522">
        <v>7.5</v>
      </c>
      <c r="AV10" s="522">
        <v>7.3</v>
      </c>
      <c r="AW10" s="522">
        <v>7.1</v>
      </c>
      <c r="AX10" s="522">
        <v>6.9</v>
      </c>
    </row>
    <row r="13" spans="2:50" x14ac:dyDescent="0.2">
      <c r="H13" s="356" t="s">
        <v>237</v>
      </c>
      <c r="I13" s="357" t="s">
        <v>795</v>
      </c>
      <c r="J13" s="357" t="s">
        <v>796</v>
      </c>
      <c r="K13" s="357" t="s">
        <v>797</v>
      </c>
      <c r="L13" s="357" t="s">
        <v>798</v>
      </c>
    </row>
    <row r="14" spans="2:50" x14ac:dyDescent="0.2">
      <c r="H14" s="6" t="s">
        <v>187</v>
      </c>
      <c r="I14" s="132">
        <v>5.4</v>
      </c>
      <c r="J14" s="132">
        <v>4.4000000000000004</v>
      </c>
      <c r="K14" s="132">
        <v>62</v>
      </c>
      <c r="L14" s="132">
        <v>62.2</v>
      </c>
    </row>
    <row r="15" spans="2:50" x14ac:dyDescent="0.2">
      <c r="H15" s="221" t="s">
        <v>154</v>
      </c>
      <c r="I15" s="132">
        <v>1.3</v>
      </c>
      <c r="J15" s="132">
        <v>0.8</v>
      </c>
      <c r="K15" s="132">
        <v>37.1</v>
      </c>
      <c r="L15" s="132">
        <v>31.8</v>
      </c>
    </row>
    <row r="16" spans="2:50" x14ac:dyDescent="0.2">
      <c r="H16" s="6" t="s">
        <v>186</v>
      </c>
      <c r="I16" s="132">
        <v>1.9</v>
      </c>
      <c r="J16" s="132">
        <v>1.6</v>
      </c>
      <c r="K16" s="132">
        <v>42.9</v>
      </c>
      <c r="L16" s="132">
        <v>40.700000000000003</v>
      </c>
    </row>
    <row r="17" spans="2:50" x14ac:dyDescent="0.2">
      <c r="B17" s="886" t="s">
        <v>789</v>
      </c>
      <c r="C17" s="886"/>
      <c r="D17" s="886"/>
      <c r="E17" s="886"/>
      <c r="F17" s="886"/>
      <c r="G17" s="886"/>
      <c r="H17" s="6" t="s">
        <v>185</v>
      </c>
      <c r="I17" s="132">
        <v>1.6</v>
      </c>
      <c r="J17" s="132">
        <v>1.1000000000000001</v>
      </c>
      <c r="K17" s="132">
        <v>29.6</v>
      </c>
      <c r="L17" s="132">
        <v>26.6</v>
      </c>
    </row>
    <row r="18" spans="2:50" x14ac:dyDescent="0.2">
      <c r="H18" s="16" t="s">
        <v>99</v>
      </c>
      <c r="I18" s="358">
        <v>3.7</v>
      </c>
      <c r="J18" s="358">
        <v>3.2</v>
      </c>
      <c r="K18" s="358">
        <v>44.6</v>
      </c>
      <c r="L18" s="358">
        <v>42.9</v>
      </c>
    </row>
    <row r="20" spans="2:50" x14ac:dyDescent="0.2">
      <c r="H20" s="6" t="s">
        <v>797</v>
      </c>
    </row>
    <row r="21" spans="2:50" x14ac:dyDescent="0.2">
      <c r="H21" s="6" t="s">
        <v>798</v>
      </c>
    </row>
    <row r="26" spans="2:50" x14ac:dyDescent="0.2">
      <c r="H26" s="352" t="s">
        <v>1434</v>
      </c>
      <c r="I26" s="353" t="s">
        <v>247</v>
      </c>
      <c r="J26" s="353" t="s">
        <v>248</v>
      </c>
      <c r="K26" s="353" t="s">
        <v>249</v>
      </c>
      <c r="L26" s="353" t="s">
        <v>250</v>
      </c>
      <c r="M26" s="353" t="s">
        <v>251</v>
      </c>
      <c r="N26" s="353" t="s">
        <v>252</v>
      </c>
      <c r="O26" s="353" t="s">
        <v>253</v>
      </c>
      <c r="P26" s="353" t="s">
        <v>254</v>
      </c>
      <c r="Q26" s="353" t="s">
        <v>255</v>
      </c>
      <c r="R26" s="353" t="s">
        <v>256</v>
      </c>
      <c r="S26" s="353" t="s">
        <v>257</v>
      </c>
      <c r="T26" s="353" t="s">
        <v>258</v>
      </c>
      <c r="U26" s="353" t="s">
        <v>259</v>
      </c>
      <c r="V26" s="353" t="s">
        <v>260</v>
      </c>
      <c r="W26" s="353" t="s">
        <v>261</v>
      </c>
      <c r="X26" s="353" t="s">
        <v>262</v>
      </c>
      <c r="Y26" s="353" t="s">
        <v>263</v>
      </c>
      <c r="Z26" s="353" t="s">
        <v>264</v>
      </c>
      <c r="AA26" s="353" t="s">
        <v>265</v>
      </c>
      <c r="AB26" s="353" t="s">
        <v>266</v>
      </c>
      <c r="AC26" s="353" t="s">
        <v>267</v>
      </c>
      <c r="AD26" s="353" t="s">
        <v>268</v>
      </c>
      <c r="AE26" s="353" t="s">
        <v>269</v>
      </c>
      <c r="AF26" s="353" t="s">
        <v>270</v>
      </c>
      <c r="AG26" s="353" t="s">
        <v>271</v>
      </c>
      <c r="AH26" s="353" t="s">
        <v>272</v>
      </c>
      <c r="AI26" s="353" t="s">
        <v>273</v>
      </c>
      <c r="AJ26" s="353" t="s">
        <v>274</v>
      </c>
      <c r="AK26" s="353" t="s">
        <v>88</v>
      </c>
      <c r="AL26" s="353" t="s">
        <v>89</v>
      </c>
      <c r="AM26" s="353" t="s">
        <v>90</v>
      </c>
      <c r="AN26" s="353" t="s">
        <v>91</v>
      </c>
      <c r="AO26" s="353" t="s">
        <v>92</v>
      </c>
      <c r="AP26" s="353" t="s">
        <v>93</v>
      </c>
      <c r="AQ26" s="353" t="s">
        <v>281</v>
      </c>
      <c r="AR26" s="353" t="s">
        <v>282</v>
      </c>
      <c r="AS26" s="353" t="s">
        <v>283</v>
      </c>
      <c r="AT26" s="353" t="s">
        <v>284</v>
      </c>
      <c r="AU26" s="353" t="s">
        <v>593</v>
      </c>
      <c r="AV26" s="353" t="s">
        <v>594</v>
      </c>
      <c r="AW26" s="353" t="s">
        <v>595</v>
      </c>
      <c r="AX26" s="353" t="s">
        <v>596</v>
      </c>
    </row>
    <row r="27" spans="2:50" x14ac:dyDescent="0.2">
      <c r="H27" s="354" t="s">
        <v>187</v>
      </c>
      <c r="I27" s="6">
        <v>10.3</v>
      </c>
      <c r="J27" s="6">
        <v>10.1</v>
      </c>
      <c r="K27" s="6">
        <v>9.1</v>
      </c>
      <c r="L27" s="6">
        <v>8.9</v>
      </c>
      <c r="M27" s="6">
        <v>10.199999999999999</v>
      </c>
      <c r="N27" s="6">
        <v>11.4</v>
      </c>
      <c r="O27" s="6">
        <v>12.8</v>
      </c>
      <c r="P27" s="6">
        <v>14.1</v>
      </c>
      <c r="Q27" s="6">
        <v>14.9</v>
      </c>
      <c r="R27" s="6">
        <v>14.7</v>
      </c>
      <c r="S27" s="6">
        <v>14.3</v>
      </c>
      <c r="T27" s="6">
        <v>13.9</v>
      </c>
      <c r="U27" s="6">
        <v>13.8</v>
      </c>
      <c r="V27" s="6">
        <v>13.7</v>
      </c>
      <c r="W27" s="6">
        <v>13.6</v>
      </c>
      <c r="X27" s="6">
        <v>13.7</v>
      </c>
      <c r="Y27" s="6">
        <v>13.8</v>
      </c>
      <c r="Z27" s="6">
        <v>13.9</v>
      </c>
      <c r="AA27" s="6">
        <v>14</v>
      </c>
      <c r="AB27" s="6">
        <v>14.3</v>
      </c>
      <c r="AC27" s="6">
        <v>14.3</v>
      </c>
      <c r="AD27" s="6">
        <v>14.3</v>
      </c>
      <c r="AE27" s="6">
        <v>14.2</v>
      </c>
      <c r="AF27" s="6">
        <v>14.1</v>
      </c>
      <c r="AG27" s="6">
        <v>13.9</v>
      </c>
      <c r="AH27" s="6">
        <v>13.5</v>
      </c>
      <c r="AI27" s="6">
        <v>13</v>
      </c>
      <c r="AJ27" s="6">
        <v>12.5</v>
      </c>
      <c r="AK27" s="6">
        <v>12.2</v>
      </c>
      <c r="AL27" s="6">
        <v>11.6</v>
      </c>
      <c r="AM27" s="6">
        <v>11.3</v>
      </c>
      <c r="AN27" s="6">
        <v>10.8</v>
      </c>
      <c r="AO27" s="6">
        <v>10.4</v>
      </c>
      <c r="AP27" s="6">
        <v>9.8000000000000007</v>
      </c>
      <c r="AQ27" s="6">
        <v>9.5</v>
      </c>
      <c r="AR27" s="6">
        <v>9</v>
      </c>
      <c r="AS27" s="6">
        <v>8.6999999999999993</v>
      </c>
      <c r="AT27" s="6">
        <v>8.3000000000000007</v>
      </c>
      <c r="AU27" s="6">
        <v>7.9</v>
      </c>
      <c r="AV27" s="6">
        <v>7.6</v>
      </c>
      <c r="AW27" s="6">
        <v>7.1</v>
      </c>
      <c r="AX27" s="6">
        <v>6.9</v>
      </c>
    </row>
    <row r="28" spans="2:50" x14ac:dyDescent="0.2">
      <c r="H28" s="354" t="s">
        <v>154</v>
      </c>
      <c r="I28" s="6">
        <v>4.5</v>
      </c>
      <c r="J28" s="6">
        <v>4.4000000000000004</v>
      </c>
      <c r="K28" s="6">
        <v>4.2</v>
      </c>
      <c r="L28" s="6">
        <v>4.4000000000000004</v>
      </c>
      <c r="M28" s="6">
        <v>5.6</v>
      </c>
      <c r="N28" s="6">
        <v>6.5</v>
      </c>
      <c r="O28" s="6">
        <v>7.3</v>
      </c>
      <c r="P28" s="6">
        <v>7.4</v>
      </c>
      <c r="Q28" s="6">
        <v>7.7</v>
      </c>
      <c r="R28" s="6">
        <v>7.3</v>
      </c>
      <c r="S28" s="6">
        <v>7.1</v>
      </c>
      <c r="T28" s="6">
        <v>7</v>
      </c>
      <c r="U28" s="6">
        <v>6.9</v>
      </c>
      <c r="V28" s="6">
        <v>6.9</v>
      </c>
      <c r="W28" s="6">
        <v>6.6</v>
      </c>
      <c r="X28" s="6">
        <v>6.5</v>
      </c>
      <c r="Y28" s="6">
        <v>6.8</v>
      </c>
      <c r="Z28" s="6">
        <v>6.9</v>
      </c>
      <c r="AA28" s="6">
        <v>7</v>
      </c>
      <c r="AB28" s="6">
        <v>7.2</v>
      </c>
      <c r="AC28" s="6">
        <v>7.2</v>
      </c>
      <c r="AD28" s="6">
        <v>7</v>
      </c>
      <c r="AE28" s="6">
        <v>6.9</v>
      </c>
      <c r="AF28" s="6">
        <v>6.8</v>
      </c>
      <c r="AG28" s="6">
        <v>6.5</v>
      </c>
      <c r="AH28" s="6">
        <v>6.2</v>
      </c>
      <c r="AI28" s="6">
        <v>5.9</v>
      </c>
      <c r="AJ28" s="6">
        <v>5.8</v>
      </c>
      <c r="AK28" s="6">
        <v>5.8</v>
      </c>
      <c r="AL28" s="6">
        <v>5.2</v>
      </c>
      <c r="AM28" s="6">
        <v>4.8</v>
      </c>
      <c r="AN28" s="6">
        <v>4.5</v>
      </c>
      <c r="AO28" s="6">
        <v>4.2</v>
      </c>
      <c r="AP28" s="6">
        <v>4.0999999999999996</v>
      </c>
      <c r="AQ28" s="6">
        <v>3.9</v>
      </c>
      <c r="AR28" s="6">
        <v>3.6</v>
      </c>
      <c r="AS28" s="6">
        <v>3.3</v>
      </c>
      <c r="AT28" s="6">
        <v>3.1</v>
      </c>
      <c r="AU28" s="6">
        <v>2.7</v>
      </c>
      <c r="AV28" s="6">
        <v>2.4</v>
      </c>
      <c r="AW28" s="6">
        <v>2.2999999999999998</v>
      </c>
      <c r="AX28" s="6">
        <v>2.2999999999999998</v>
      </c>
    </row>
    <row r="29" spans="2:50" x14ac:dyDescent="0.2">
      <c r="H29" s="354" t="s">
        <v>186</v>
      </c>
      <c r="I29" s="6">
        <v>7.6</v>
      </c>
      <c r="J29" s="6">
        <v>7.6</v>
      </c>
      <c r="K29" s="6">
        <v>7.8</v>
      </c>
      <c r="L29" s="6">
        <v>8.1999999999999993</v>
      </c>
      <c r="M29" s="6">
        <v>9.1999999999999993</v>
      </c>
      <c r="N29" s="6">
        <v>9.8000000000000007</v>
      </c>
      <c r="O29" s="6">
        <v>10.4</v>
      </c>
      <c r="P29" s="6">
        <v>10.7</v>
      </c>
      <c r="Q29" s="6">
        <v>11.2</v>
      </c>
      <c r="R29" s="6">
        <v>11.3</v>
      </c>
      <c r="S29" s="6">
        <v>11.1</v>
      </c>
      <c r="T29" s="6">
        <v>11.1</v>
      </c>
      <c r="U29" s="6">
        <v>11.2</v>
      </c>
      <c r="V29" s="6">
        <v>11</v>
      </c>
      <c r="W29" s="6">
        <v>11</v>
      </c>
      <c r="X29" s="6">
        <v>11</v>
      </c>
      <c r="Y29" s="6">
        <v>11.3</v>
      </c>
      <c r="Z29" s="6">
        <v>11.1</v>
      </c>
      <c r="AA29" s="6">
        <v>10.7</v>
      </c>
      <c r="AB29" s="6">
        <v>10.9</v>
      </c>
      <c r="AC29" s="6">
        <v>10.9</v>
      </c>
      <c r="AD29" s="6">
        <v>10.3</v>
      </c>
      <c r="AE29" s="6">
        <v>10</v>
      </c>
      <c r="AF29" s="6">
        <v>9.1999999999999993</v>
      </c>
      <c r="AG29" s="6">
        <v>7.9</v>
      </c>
      <c r="AH29" s="6">
        <v>8.1</v>
      </c>
      <c r="AI29" s="6">
        <v>7.5</v>
      </c>
      <c r="AJ29" s="6">
        <v>7.3</v>
      </c>
      <c r="AK29" s="6">
        <v>7.4</v>
      </c>
      <c r="AL29" s="6">
        <v>7</v>
      </c>
      <c r="AM29" s="6">
        <v>6.6</v>
      </c>
      <c r="AN29" s="6">
        <v>6.3</v>
      </c>
      <c r="AO29" s="6">
        <v>5.7</v>
      </c>
      <c r="AP29" s="6">
        <v>5.2</v>
      </c>
      <c r="AQ29" s="6">
        <v>4.9000000000000004</v>
      </c>
      <c r="AR29" s="6">
        <v>4.5</v>
      </c>
      <c r="AS29" s="6">
        <v>4.3</v>
      </c>
      <c r="AT29" s="6">
        <v>4.3</v>
      </c>
      <c r="AU29" s="6">
        <v>4.0999999999999996</v>
      </c>
      <c r="AV29" s="6">
        <v>3.9</v>
      </c>
      <c r="AW29" s="6">
        <v>3.7</v>
      </c>
      <c r="AX29" s="6">
        <v>3.6</v>
      </c>
    </row>
    <row r="30" spans="2:50" x14ac:dyDescent="0.2">
      <c r="H30" s="354" t="s">
        <v>185</v>
      </c>
      <c r="I30" s="6">
        <v>7.5</v>
      </c>
      <c r="J30" s="6">
        <v>7.2</v>
      </c>
      <c r="K30" s="6">
        <v>6.8</v>
      </c>
      <c r="L30" s="6">
        <v>6.8</v>
      </c>
      <c r="M30" s="6">
        <v>7.6</v>
      </c>
      <c r="N30" s="6">
        <v>7.9</v>
      </c>
      <c r="O30" s="6">
        <v>8.3000000000000007</v>
      </c>
      <c r="P30" s="6">
        <v>8.6999999999999993</v>
      </c>
      <c r="Q30" s="6">
        <v>9.6999999999999993</v>
      </c>
      <c r="R30" s="6">
        <v>9.6999999999999993</v>
      </c>
      <c r="S30" s="6">
        <v>9.6</v>
      </c>
      <c r="T30" s="6">
        <v>9.5</v>
      </c>
      <c r="U30" s="6">
        <v>9.4</v>
      </c>
      <c r="V30" s="6">
        <v>9.6</v>
      </c>
      <c r="W30" s="6">
        <v>9.6999999999999993</v>
      </c>
      <c r="X30" s="6">
        <v>9.9</v>
      </c>
      <c r="Y30" s="6">
        <v>9.9</v>
      </c>
      <c r="Z30" s="6">
        <v>10</v>
      </c>
      <c r="AA30" s="6">
        <v>10.3</v>
      </c>
      <c r="AB30" s="6">
        <v>10.4</v>
      </c>
      <c r="AC30" s="6">
        <v>10.5</v>
      </c>
      <c r="AD30" s="6">
        <v>10.5</v>
      </c>
      <c r="AE30" s="6">
        <v>10.3</v>
      </c>
      <c r="AF30" s="6">
        <v>10.1</v>
      </c>
      <c r="AG30" s="6">
        <v>9.8000000000000007</v>
      </c>
      <c r="AH30" s="6">
        <v>9.1999999999999993</v>
      </c>
      <c r="AI30" s="6">
        <v>8.6</v>
      </c>
      <c r="AJ30" s="6">
        <v>8.3000000000000007</v>
      </c>
      <c r="AK30" s="6">
        <v>8</v>
      </c>
      <c r="AL30" s="6">
        <v>7.6</v>
      </c>
      <c r="AM30" s="6">
        <v>7.3</v>
      </c>
      <c r="AN30" s="6">
        <v>7</v>
      </c>
      <c r="AO30" s="6">
        <v>6.7</v>
      </c>
      <c r="AP30" s="6">
        <v>6.3</v>
      </c>
      <c r="AQ30" s="6">
        <v>6</v>
      </c>
      <c r="AR30" s="6">
        <v>5.6</v>
      </c>
      <c r="AS30" s="6">
        <v>5.3</v>
      </c>
      <c r="AT30" s="6">
        <v>5.0999999999999996</v>
      </c>
      <c r="AU30" s="6">
        <v>4.8</v>
      </c>
      <c r="AV30" s="6">
        <v>4.5</v>
      </c>
      <c r="AW30" s="6">
        <v>4</v>
      </c>
      <c r="AX30" s="6">
        <v>3.7</v>
      </c>
    </row>
    <row r="31" spans="2:50" x14ac:dyDescent="0.2">
      <c r="H31" s="354" t="s">
        <v>275</v>
      </c>
      <c r="I31" s="6">
        <v>7.3</v>
      </c>
      <c r="J31" s="6">
        <v>7.4</v>
      </c>
      <c r="K31" s="6">
        <v>7.6</v>
      </c>
      <c r="L31" s="6">
        <v>8.1</v>
      </c>
      <c r="M31" s="6">
        <v>9</v>
      </c>
      <c r="N31" s="6">
        <v>9.6</v>
      </c>
      <c r="O31" s="6">
        <v>9.9</v>
      </c>
      <c r="P31" s="6">
        <v>10.1</v>
      </c>
      <c r="Q31" s="6">
        <v>10.199999999999999</v>
      </c>
      <c r="R31" s="6">
        <v>10.3</v>
      </c>
      <c r="S31" s="6">
        <v>10.199999999999999</v>
      </c>
      <c r="T31" s="6">
        <v>10.199999999999999</v>
      </c>
      <c r="U31" s="6">
        <v>10</v>
      </c>
      <c r="V31" s="6">
        <v>10</v>
      </c>
      <c r="W31" s="6">
        <v>10.3</v>
      </c>
      <c r="X31" s="6">
        <v>10.6</v>
      </c>
      <c r="Y31" s="6">
        <v>10.9</v>
      </c>
      <c r="Z31" s="6">
        <v>11.3</v>
      </c>
      <c r="AA31" s="6">
        <v>11.5</v>
      </c>
      <c r="AB31" s="6">
        <v>11.8</v>
      </c>
      <c r="AC31" s="6">
        <v>12</v>
      </c>
      <c r="AD31" s="6">
        <v>12.1</v>
      </c>
      <c r="AE31" s="6">
        <v>12</v>
      </c>
      <c r="AF31" s="6">
        <v>11.9</v>
      </c>
      <c r="AG31" s="6">
        <v>11.9</v>
      </c>
      <c r="AH31" s="6">
        <v>11.6</v>
      </c>
      <c r="AI31" s="6">
        <v>11.5</v>
      </c>
      <c r="AJ31" s="6">
        <v>11.5</v>
      </c>
      <c r="AK31" s="6">
        <v>11.2</v>
      </c>
      <c r="AL31" s="6">
        <v>11</v>
      </c>
      <c r="AM31" s="6">
        <v>10.7</v>
      </c>
      <c r="AN31" s="6">
        <v>10.5</v>
      </c>
      <c r="AO31" s="6">
        <v>10.3</v>
      </c>
      <c r="AP31" s="6">
        <v>10.199999999999999</v>
      </c>
      <c r="AQ31" s="6">
        <v>9.9</v>
      </c>
      <c r="AR31" s="6">
        <v>9.6999999999999993</v>
      </c>
      <c r="AS31" s="6">
        <v>9.5</v>
      </c>
      <c r="AT31" s="6">
        <v>9.1</v>
      </c>
      <c r="AU31" s="6">
        <v>9</v>
      </c>
      <c r="AV31" s="6">
        <v>8.6999999999999993</v>
      </c>
      <c r="AW31" s="6">
        <v>8.6</v>
      </c>
      <c r="AX31" s="6">
        <v>8.3000000000000007</v>
      </c>
    </row>
    <row r="32" spans="2:50" x14ac:dyDescent="0.2">
      <c r="H32" s="786" t="s">
        <v>950</v>
      </c>
      <c r="I32" s="522">
        <v>6.8</v>
      </c>
      <c r="J32" s="522">
        <v>6.9</v>
      </c>
      <c r="K32" s="522">
        <v>7</v>
      </c>
      <c r="L32" s="522">
        <v>7.4</v>
      </c>
      <c r="M32" s="522">
        <v>8.3000000000000007</v>
      </c>
      <c r="N32" s="522">
        <v>8.9</v>
      </c>
      <c r="O32" s="522">
        <v>9.1999999999999993</v>
      </c>
      <c r="P32" s="522">
        <v>9.4</v>
      </c>
      <c r="Q32" s="522">
        <v>9.6999999999999993</v>
      </c>
      <c r="R32" s="522">
        <v>9.6999999999999993</v>
      </c>
      <c r="S32" s="522">
        <v>9.6</v>
      </c>
      <c r="T32" s="522">
        <v>9.6</v>
      </c>
      <c r="U32" s="522">
        <v>9.5</v>
      </c>
      <c r="V32" s="522">
        <v>9.5</v>
      </c>
      <c r="W32" s="522">
        <v>9.6999999999999993</v>
      </c>
      <c r="X32" s="522">
        <v>10</v>
      </c>
      <c r="Y32" s="522">
        <v>10.199999999999999</v>
      </c>
      <c r="Z32" s="522">
        <v>10.4</v>
      </c>
      <c r="AA32" s="522">
        <v>10.6</v>
      </c>
      <c r="AB32" s="522">
        <v>10.8</v>
      </c>
      <c r="AC32" s="522">
        <v>11</v>
      </c>
      <c r="AD32" s="522">
        <v>11</v>
      </c>
      <c r="AE32" s="522">
        <v>10.9</v>
      </c>
      <c r="AF32" s="522">
        <v>10.7</v>
      </c>
      <c r="AG32" s="522">
        <v>10.6</v>
      </c>
      <c r="AH32" s="522">
        <v>10.3</v>
      </c>
      <c r="AI32" s="522">
        <v>10.1</v>
      </c>
      <c r="AJ32" s="522">
        <v>10</v>
      </c>
      <c r="AK32" s="522">
        <v>9.8000000000000007</v>
      </c>
      <c r="AL32" s="522">
        <v>9.6</v>
      </c>
      <c r="AM32" s="522">
        <v>9.3000000000000007</v>
      </c>
      <c r="AN32" s="522">
        <v>9</v>
      </c>
      <c r="AO32" s="522">
        <v>8.8000000000000007</v>
      </c>
      <c r="AP32" s="522">
        <v>8.6999999999999993</v>
      </c>
      <c r="AQ32" s="522">
        <v>8.5</v>
      </c>
      <c r="AR32" s="522">
        <v>8.1999999999999993</v>
      </c>
      <c r="AS32" s="522">
        <v>8</v>
      </c>
      <c r="AT32" s="522">
        <v>7.7</v>
      </c>
      <c r="AU32" s="522">
        <v>7.5</v>
      </c>
      <c r="AV32" s="522">
        <v>7.3</v>
      </c>
      <c r="AW32" s="522">
        <v>7.1</v>
      </c>
      <c r="AX32" s="522">
        <v>6.9</v>
      </c>
    </row>
    <row r="33" spans="2:12" ht="28.5" customHeight="1" x14ac:dyDescent="0.2">
      <c r="B33" s="886" t="s">
        <v>1435</v>
      </c>
      <c r="C33" s="886"/>
      <c r="D33" s="886"/>
      <c r="E33" s="886"/>
      <c r="F33" s="886"/>
      <c r="G33" s="886"/>
    </row>
    <row r="35" spans="2:12" x14ac:dyDescent="0.2">
      <c r="H35" s="356" t="s">
        <v>1434</v>
      </c>
      <c r="I35" s="357" t="s">
        <v>1430</v>
      </c>
      <c r="J35" s="357" t="s">
        <v>1431</v>
      </c>
      <c r="K35" s="357" t="s">
        <v>1432</v>
      </c>
      <c r="L35" s="357" t="s">
        <v>1433</v>
      </c>
    </row>
    <row r="36" spans="2:12" x14ac:dyDescent="0.2">
      <c r="H36" s="6" t="s">
        <v>187</v>
      </c>
      <c r="I36" s="132">
        <v>5.4</v>
      </c>
      <c r="J36" s="132">
        <v>4.4000000000000004</v>
      </c>
      <c r="K36" s="132">
        <v>62</v>
      </c>
      <c r="L36" s="132">
        <v>62.2</v>
      </c>
    </row>
    <row r="37" spans="2:12" x14ac:dyDescent="0.2">
      <c r="H37" s="221" t="s">
        <v>154</v>
      </c>
      <c r="I37" s="132">
        <v>1.3</v>
      </c>
      <c r="J37" s="132">
        <v>0.8</v>
      </c>
      <c r="K37" s="132">
        <v>37.1</v>
      </c>
      <c r="L37" s="132">
        <v>31.8</v>
      </c>
    </row>
    <row r="38" spans="2:12" x14ac:dyDescent="0.2">
      <c r="H38" s="6" t="s">
        <v>186</v>
      </c>
      <c r="I38" s="132">
        <v>1.9</v>
      </c>
      <c r="J38" s="132">
        <v>1.6</v>
      </c>
      <c r="K38" s="132">
        <v>42.9</v>
      </c>
      <c r="L38" s="132">
        <v>40.700000000000003</v>
      </c>
    </row>
    <row r="39" spans="2:12" x14ac:dyDescent="0.2">
      <c r="H39" s="6" t="s">
        <v>185</v>
      </c>
      <c r="I39" s="132">
        <v>1.6</v>
      </c>
      <c r="J39" s="132">
        <v>1.1000000000000001</v>
      </c>
      <c r="K39" s="132">
        <v>29.6</v>
      </c>
      <c r="L39" s="132">
        <v>26.6</v>
      </c>
    </row>
    <row r="40" spans="2:12" x14ac:dyDescent="0.2">
      <c r="H40" s="745" t="s">
        <v>950</v>
      </c>
      <c r="I40" s="358">
        <v>3.7</v>
      </c>
      <c r="J40" s="358">
        <v>3.2</v>
      </c>
      <c r="K40" s="358">
        <v>44.6</v>
      </c>
      <c r="L40" s="358">
        <v>42.9</v>
      </c>
    </row>
    <row r="42" spans="2:12" x14ac:dyDescent="0.2">
      <c r="H42" s="6" t="s">
        <v>1432</v>
      </c>
    </row>
    <row r="43" spans="2:12" x14ac:dyDescent="0.2">
      <c r="H43" s="6" t="s">
        <v>1433</v>
      </c>
    </row>
    <row r="46" spans="2:12" x14ac:dyDescent="0.2">
      <c r="B46" s="886" t="s">
        <v>1436</v>
      </c>
      <c r="C46" s="886"/>
      <c r="D46" s="886"/>
      <c r="E46" s="886"/>
      <c r="F46" s="886"/>
      <c r="G46" s="886"/>
    </row>
  </sheetData>
  <mergeCells count="4">
    <mergeCell ref="B4:G4"/>
    <mergeCell ref="B17:G17"/>
    <mergeCell ref="B33:G33"/>
    <mergeCell ref="B46:G46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>
      <selection activeCell="A2" sqref="A2"/>
    </sheetView>
  </sheetViews>
  <sheetFormatPr defaultRowHeight="15" x14ac:dyDescent="0.25"/>
  <cols>
    <col min="1" max="1" width="64.140625" bestFit="1" customWidth="1"/>
  </cols>
  <sheetData>
    <row r="1" spans="1:6" x14ac:dyDescent="0.25">
      <c r="A1" s="6"/>
      <c r="B1" s="6"/>
      <c r="C1" s="6"/>
      <c r="D1" s="6"/>
      <c r="E1" s="6"/>
      <c r="F1" s="6"/>
    </row>
    <row r="2" spans="1:6" ht="15.75" x14ac:dyDescent="0.25">
      <c r="A2" s="685" t="s">
        <v>874</v>
      </c>
      <c r="B2" s="6"/>
      <c r="C2" s="6"/>
      <c r="D2" s="6"/>
      <c r="E2" s="6"/>
      <c r="F2" s="6"/>
    </row>
    <row r="3" spans="1:6" x14ac:dyDescent="0.25">
      <c r="A3" s="20" t="s">
        <v>834</v>
      </c>
      <c r="B3" s="20">
        <v>2017</v>
      </c>
      <c r="C3" s="20">
        <v>2018</v>
      </c>
      <c r="D3" s="20">
        <v>2019</v>
      </c>
      <c r="E3" s="20">
        <v>2020</v>
      </c>
      <c r="F3" s="20">
        <v>2021</v>
      </c>
    </row>
    <row r="4" spans="1:6" x14ac:dyDescent="0.25">
      <c r="A4" s="6" t="s">
        <v>835</v>
      </c>
      <c r="B4" s="7">
        <v>-49.779000000000003</v>
      </c>
      <c r="C4" s="7" t="s">
        <v>836</v>
      </c>
      <c r="D4" s="7" t="s">
        <v>836</v>
      </c>
      <c r="E4" s="7" t="s">
        <v>836</v>
      </c>
      <c r="F4" s="7" t="s">
        <v>836</v>
      </c>
    </row>
    <row r="5" spans="1:6" x14ac:dyDescent="0.25">
      <c r="A5" s="6" t="s">
        <v>837</v>
      </c>
      <c r="B5" s="7">
        <v>21.033387110155775</v>
      </c>
      <c r="C5" s="7">
        <v>16.879056264715299</v>
      </c>
      <c r="D5" s="7">
        <v>13.996465569777603</v>
      </c>
      <c r="E5" s="7">
        <v>11.753861380797288</v>
      </c>
      <c r="F5" s="7">
        <v>9.9952343952698719</v>
      </c>
    </row>
    <row r="6" spans="1:6" x14ac:dyDescent="0.25">
      <c r="A6" s="6" t="s">
        <v>838</v>
      </c>
      <c r="B6" s="7" t="s">
        <v>836</v>
      </c>
      <c r="C6" s="7">
        <v>31.656388565039823</v>
      </c>
      <c r="D6" s="7">
        <v>-3.2654250959664277</v>
      </c>
      <c r="E6" s="7">
        <v>-2.7422175788611276</v>
      </c>
      <c r="F6" s="7">
        <v>-2.331923661131921</v>
      </c>
    </row>
    <row r="7" spans="1:6" x14ac:dyDescent="0.25">
      <c r="A7" s="6" t="s">
        <v>839</v>
      </c>
      <c r="B7" s="7">
        <v>1.4359999999999999</v>
      </c>
      <c r="C7" s="7" t="s">
        <v>836</v>
      </c>
      <c r="D7" s="7" t="s">
        <v>836</v>
      </c>
      <c r="E7" s="7" t="s">
        <v>836</v>
      </c>
      <c r="F7" s="7" t="s">
        <v>836</v>
      </c>
    </row>
    <row r="8" spans="1:6" x14ac:dyDescent="0.25">
      <c r="A8" s="6" t="s">
        <v>840</v>
      </c>
      <c r="B8" s="7">
        <v>6.4939999999999998</v>
      </c>
      <c r="C8" s="7" t="s">
        <v>836</v>
      </c>
      <c r="D8" s="7" t="s">
        <v>836</v>
      </c>
      <c r="E8" s="7" t="s">
        <v>836</v>
      </c>
      <c r="F8" s="7" t="s">
        <v>836</v>
      </c>
    </row>
    <row r="9" spans="1:6" x14ac:dyDescent="0.25">
      <c r="A9" s="6" t="s">
        <v>841</v>
      </c>
      <c r="B9" s="7">
        <v>-121.34101605901982</v>
      </c>
      <c r="C9" s="7" t="s">
        <v>836</v>
      </c>
      <c r="D9" s="7" t="s">
        <v>836</v>
      </c>
      <c r="E9" s="7" t="s">
        <v>836</v>
      </c>
      <c r="F9" s="7" t="s">
        <v>836</v>
      </c>
    </row>
    <row r="10" spans="1:6" x14ac:dyDescent="0.25">
      <c r="A10" s="6" t="s">
        <v>842</v>
      </c>
      <c r="B10" s="7" t="s">
        <v>836</v>
      </c>
      <c r="C10" s="7" t="s">
        <v>836</v>
      </c>
      <c r="D10" s="7">
        <v>37.191000000000003</v>
      </c>
      <c r="E10" s="7" t="s">
        <v>836</v>
      </c>
      <c r="F10" s="7" t="s">
        <v>836</v>
      </c>
    </row>
    <row r="11" spans="1:6" x14ac:dyDescent="0.25">
      <c r="A11" s="6" t="s">
        <v>843</v>
      </c>
      <c r="B11" s="7">
        <v>62.335786831938933</v>
      </c>
      <c r="C11" s="7" t="s">
        <v>836</v>
      </c>
      <c r="D11" s="7">
        <v>-38.977331012325735</v>
      </c>
      <c r="E11" s="7" t="s">
        <v>836</v>
      </c>
      <c r="F11" s="7">
        <v>-23.358455819613198</v>
      </c>
    </row>
    <row r="12" spans="1:6" x14ac:dyDescent="0.25">
      <c r="A12" s="6" t="s">
        <v>844</v>
      </c>
      <c r="B12" s="7">
        <v>29.565999999999999</v>
      </c>
      <c r="C12" s="7">
        <v>2.9089999999999998</v>
      </c>
      <c r="D12" s="7">
        <v>35.869999999999997</v>
      </c>
      <c r="E12" s="7" t="s">
        <v>836</v>
      </c>
      <c r="F12" s="7" t="s">
        <v>836</v>
      </c>
    </row>
    <row r="13" spans="1:6" x14ac:dyDescent="0.25">
      <c r="A13" s="6" t="s">
        <v>845</v>
      </c>
      <c r="B13" s="7">
        <v>50.277093246150024</v>
      </c>
      <c r="C13" s="7" t="s">
        <v>836</v>
      </c>
      <c r="D13" s="7" t="s">
        <v>836</v>
      </c>
      <c r="E13" s="7" t="s">
        <v>836</v>
      </c>
      <c r="F13" s="7" t="s">
        <v>836</v>
      </c>
    </row>
    <row r="14" spans="1:6" x14ac:dyDescent="0.25">
      <c r="A14" s="6" t="s">
        <v>846</v>
      </c>
      <c r="B14" s="7" t="s">
        <v>836</v>
      </c>
      <c r="C14" s="7" t="s">
        <v>836</v>
      </c>
      <c r="D14" s="7" t="s">
        <v>836</v>
      </c>
      <c r="E14" s="7" t="s">
        <v>836</v>
      </c>
      <c r="F14" s="7">
        <v>-128.22884999999999</v>
      </c>
    </row>
    <row r="15" spans="1:6" x14ac:dyDescent="0.25">
      <c r="A15" s="6" t="s">
        <v>847</v>
      </c>
      <c r="B15" s="7" t="s">
        <v>836</v>
      </c>
      <c r="C15" s="7">
        <v>-5.6</v>
      </c>
      <c r="D15" s="7" t="s">
        <v>836</v>
      </c>
      <c r="E15" s="7" t="s">
        <v>836</v>
      </c>
      <c r="F15" s="7" t="s">
        <v>836</v>
      </c>
    </row>
    <row r="16" spans="1:6" x14ac:dyDescent="0.25">
      <c r="A16" s="6" t="s">
        <v>848</v>
      </c>
      <c r="B16" s="7" t="s">
        <v>836</v>
      </c>
      <c r="C16" s="7">
        <v>44.238816999999997</v>
      </c>
      <c r="D16" s="7" t="s">
        <v>836</v>
      </c>
      <c r="E16" s="7" t="s">
        <v>836</v>
      </c>
      <c r="F16" s="7" t="s">
        <v>836</v>
      </c>
    </row>
    <row r="17" spans="1:6" x14ac:dyDescent="0.25">
      <c r="A17" s="6" t="s">
        <v>849</v>
      </c>
      <c r="B17" s="7">
        <v>2.7</v>
      </c>
      <c r="C17" s="7" t="s">
        <v>836</v>
      </c>
      <c r="D17" s="7" t="s">
        <v>836</v>
      </c>
      <c r="E17" s="7" t="s">
        <v>836</v>
      </c>
      <c r="F17" s="7" t="s">
        <v>836</v>
      </c>
    </row>
    <row r="18" spans="1:6" x14ac:dyDescent="0.25">
      <c r="A18" s="6" t="s">
        <v>850</v>
      </c>
      <c r="B18" s="7">
        <v>-4.5</v>
      </c>
      <c r="C18" s="7" t="s">
        <v>836</v>
      </c>
      <c r="D18" s="7" t="s">
        <v>836</v>
      </c>
      <c r="E18" s="7" t="s">
        <v>836</v>
      </c>
      <c r="F18" s="7" t="s">
        <v>836</v>
      </c>
    </row>
    <row r="19" spans="1:6" x14ac:dyDescent="0.25">
      <c r="A19" s="6" t="s">
        <v>851</v>
      </c>
      <c r="B19" s="7">
        <v>-34.2603480223068</v>
      </c>
      <c r="C19" s="7" t="s">
        <v>836</v>
      </c>
      <c r="D19" s="7" t="s">
        <v>836</v>
      </c>
      <c r="E19" s="7" t="s">
        <v>836</v>
      </c>
      <c r="F19" s="7" t="s">
        <v>836</v>
      </c>
    </row>
    <row r="20" spans="1:6" x14ac:dyDescent="0.25">
      <c r="A20" s="6" t="s">
        <v>852</v>
      </c>
      <c r="B20" s="7">
        <v>96.521032393232005</v>
      </c>
      <c r="C20" s="7" t="s">
        <v>836</v>
      </c>
      <c r="D20" s="7" t="s">
        <v>836</v>
      </c>
      <c r="E20" s="7" t="s">
        <v>836</v>
      </c>
      <c r="F20" s="7" t="s">
        <v>836</v>
      </c>
    </row>
    <row r="21" spans="1:6" x14ac:dyDescent="0.25">
      <c r="A21" s="6" t="s">
        <v>853</v>
      </c>
      <c r="B21" s="7">
        <v>70.444000000000003</v>
      </c>
      <c r="C21" s="7" t="s">
        <v>836</v>
      </c>
      <c r="D21" s="7" t="s">
        <v>836</v>
      </c>
      <c r="E21" s="7" t="s">
        <v>836</v>
      </c>
      <c r="F21" s="7" t="s">
        <v>836</v>
      </c>
    </row>
    <row r="22" spans="1:6" x14ac:dyDescent="0.25">
      <c r="A22" s="6" t="s">
        <v>854</v>
      </c>
      <c r="B22" s="7" t="s">
        <v>836</v>
      </c>
      <c r="C22" s="7">
        <v>-115</v>
      </c>
      <c r="D22" s="7" t="s">
        <v>836</v>
      </c>
      <c r="E22" s="7" t="s">
        <v>836</v>
      </c>
      <c r="F22" s="7" t="s">
        <v>836</v>
      </c>
    </row>
    <row r="23" spans="1:6" x14ac:dyDescent="0.25">
      <c r="A23" s="6" t="s">
        <v>855</v>
      </c>
      <c r="B23" s="7">
        <v>5.5567380199999894</v>
      </c>
      <c r="C23" s="7" t="s">
        <v>836</v>
      </c>
      <c r="D23" s="7" t="s">
        <v>836</v>
      </c>
      <c r="E23" s="7" t="s">
        <v>836</v>
      </c>
      <c r="F23" s="7" t="s">
        <v>836</v>
      </c>
    </row>
    <row r="24" spans="1:6" x14ac:dyDescent="0.25">
      <c r="A24" s="6" t="s">
        <v>856</v>
      </c>
      <c r="B24" s="7">
        <v>16.259270000000001</v>
      </c>
      <c r="C24" s="7">
        <v>14.44073</v>
      </c>
      <c r="D24" s="7">
        <v>-30.7</v>
      </c>
      <c r="E24" s="7" t="s">
        <v>836</v>
      </c>
      <c r="F24" s="7" t="s">
        <v>836</v>
      </c>
    </row>
    <row r="25" spans="1:6" x14ac:dyDescent="0.25">
      <c r="A25" s="6" t="s">
        <v>857</v>
      </c>
      <c r="B25" s="7">
        <v>2.64859504</v>
      </c>
      <c r="C25" s="7" t="s">
        <v>836</v>
      </c>
      <c r="D25" s="7" t="s">
        <v>836</v>
      </c>
      <c r="E25" s="7" t="s">
        <v>836</v>
      </c>
      <c r="F25" s="7" t="s">
        <v>836</v>
      </c>
    </row>
    <row r="26" spans="1:6" x14ac:dyDescent="0.25">
      <c r="A26" s="6" t="s">
        <v>858</v>
      </c>
      <c r="B26" s="7">
        <v>9.8000000000000007</v>
      </c>
      <c r="C26" s="7" t="s">
        <v>836</v>
      </c>
      <c r="D26" s="7" t="s">
        <v>836</v>
      </c>
      <c r="E26" s="7" t="s">
        <v>836</v>
      </c>
      <c r="F26" s="7" t="s">
        <v>836</v>
      </c>
    </row>
    <row r="27" spans="1:6" x14ac:dyDescent="0.25">
      <c r="A27" s="6" t="s">
        <v>859</v>
      </c>
      <c r="B27" s="7">
        <v>-28.109937500000001</v>
      </c>
      <c r="C27" s="7">
        <v>-32.183121323529399</v>
      </c>
      <c r="D27" s="7">
        <v>-39.972952840970599</v>
      </c>
      <c r="E27" s="7">
        <v>-40.086282872690006</v>
      </c>
      <c r="F27" s="7">
        <v>-45.507542834963012</v>
      </c>
    </row>
    <row r="28" spans="1:6" x14ac:dyDescent="0.25">
      <c r="A28" s="6" t="s">
        <v>860</v>
      </c>
      <c r="B28" s="7" t="s">
        <v>836</v>
      </c>
      <c r="C28" s="7">
        <v>-9.0129999999999999</v>
      </c>
      <c r="D28" s="7" t="s">
        <v>836</v>
      </c>
      <c r="E28" s="7" t="s">
        <v>836</v>
      </c>
      <c r="F28" s="7" t="s">
        <v>836</v>
      </c>
    </row>
    <row r="29" spans="1:6" x14ac:dyDescent="0.25">
      <c r="A29" s="6" t="s">
        <v>861</v>
      </c>
      <c r="B29" s="7" t="s">
        <v>836</v>
      </c>
      <c r="C29" s="7">
        <v>-0.14199999999999999</v>
      </c>
      <c r="D29" s="7">
        <v>-0.56799999999999995</v>
      </c>
      <c r="E29" s="7" t="s">
        <v>836</v>
      </c>
      <c r="F29" s="7" t="s">
        <v>836</v>
      </c>
    </row>
    <row r="30" spans="1:6" x14ac:dyDescent="0.25">
      <c r="A30" s="6" t="s">
        <v>862</v>
      </c>
      <c r="B30" s="7" t="s">
        <v>836</v>
      </c>
      <c r="C30" s="7">
        <v>-1.9239999999999999</v>
      </c>
      <c r="D30" s="7" t="s">
        <v>836</v>
      </c>
      <c r="E30" s="7" t="s">
        <v>836</v>
      </c>
      <c r="F30" s="7" t="s">
        <v>836</v>
      </c>
    </row>
    <row r="31" spans="1:6" x14ac:dyDescent="0.25">
      <c r="A31" s="6" t="s">
        <v>603</v>
      </c>
      <c r="B31" s="7" t="s">
        <v>836</v>
      </c>
      <c r="C31" s="7" t="s">
        <v>836</v>
      </c>
      <c r="D31" s="7">
        <v>11.69</v>
      </c>
      <c r="E31" s="7">
        <v>2.8</v>
      </c>
      <c r="F31" s="7" t="s">
        <v>836</v>
      </c>
    </row>
    <row r="32" spans="1:6" x14ac:dyDescent="0.25">
      <c r="A32" s="6" t="s">
        <v>863</v>
      </c>
      <c r="B32" s="7" t="s">
        <v>836</v>
      </c>
      <c r="C32" s="7" t="s">
        <v>836</v>
      </c>
      <c r="D32" s="7">
        <v>73.599999999999994</v>
      </c>
      <c r="E32" s="7" t="s">
        <v>836</v>
      </c>
      <c r="F32" s="7" t="s">
        <v>836</v>
      </c>
    </row>
    <row r="33" spans="1:6" x14ac:dyDescent="0.25">
      <c r="A33" s="6" t="s">
        <v>864</v>
      </c>
      <c r="B33" s="7" t="s">
        <v>836</v>
      </c>
      <c r="C33" s="7">
        <v>-9.0368811130516189</v>
      </c>
      <c r="D33" s="7">
        <v>-9.6587216472645672</v>
      </c>
      <c r="E33" s="7" t="s">
        <v>836</v>
      </c>
      <c r="F33" s="7" t="s">
        <v>836</v>
      </c>
    </row>
    <row r="34" spans="1:6" x14ac:dyDescent="0.25">
      <c r="A34" s="6" t="s">
        <v>865</v>
      </c>
      <c r="B34" s="7" t="s">
        <v>836</v>
      </c>
      <c r="C34" s="7">
        <v>-2.3731663243993504</v>
      </c>
      <c r="D34" s="7">
        <v>-35.945833675600646</v>
      </c>
      <c r="E34" s="7">
        <v>-15.304</v>
      </c>
      <c r="F34" s="7">
        <v>-57.975999999999999</v>
      </c>
    </row>
    <row r="35" spans="1:6" x14ac:dyDescent="0.25">
      <c r="A35" s="6" t="s">
        <v>611</v>
      </c>
      <c r="B35" s="7" t="s">
        <v>836</v>
      </c>
      <c r="C35" s="7">
        <v>20.16900095733498</v>
      </c>
      <c r="D35" s="7">
        <v>66.476604845799031</v>
      </c>
      <c r="E35" s="7">
        <v>-8.368898914728387</v>
      </c>
      <c r="F35" s="7">
        <v>-7.1167341159638164</v>
      </c>
    </row>
    <row r="36" spans="1:6" x14ac:dyDescent="0.25">
      <c r="A36" s="6" t="s">
        <v>608</v>
      </c>
      <c r="B36" s="7" t="s">
        <v>836</v>
      </c>
      <c r="C36" s="7" t="s">
        <v>836</v>
      </c>
      <c r="D36" s="7">
        <v>-5.3001589999999998</v>
      </c>
      <c r="E36" s="7">
        <v>-22.777408000000005</v>
      </c>
      <c r="F36" s="7" t="s">
        <v>836</v>
      </c>
    </row>
    <row r="37" spans="1:6" x14ac:dyDescent="0.25">
      <c r="A37" s="6" t="s">
        <v>866</v>
      </c>
      <c r="B37" s="7" t="s">
        <v>836</v>
      </c>
      <c r="C37" s="7">
        <v>-2.5787970810000003</v>
      </c>
      <c r="D37" s="7" t="s">
        <v>836</v>
      </c>
      <c r="E37" s="7" t="s">
        <v>836</v>
      </c>
      <c r="F37" s="7" t="s">
        <v>836</v>
      </c>
    </row>
    <row r="38" spans="1:6" x14ac:dyDescent="0.25">
      <c r="A38" s="6" t="s">
        <v>867</v>
      </c>
      <c r="B38" s="7" t="s">
        <v>836</v>
      </c>
      <c r="C38" s="7">
        <v>-1.3658910734365499</v>
      </c>
      <c r="D38" s="7" t="s">
        <v>836</v>
      </c>
      <c r="E38" s="7" t="s">
        <v>836</v>
      </c>
      <c r="F38" s="7" t="s">
        <v>836</v>
      </c>
    </row>
    <row r="39" spans="1:6" x14ac:dyDescent="0.25">
      <c r="A39" s="6" t="s">
        <v>868</v>
      </c>
      <c r="B39" s="7" t="s">
        <v>836</v>
      </c>
      <c r="C39" s="7" t="s">
        <v>836</v>
      </c>
      <c r="D39" s="7" t="s">
        <v>836</v>
      </c>
      <c r="E39" s="7" t="s">
        <v>836</v>
      </c>
      <c r="F39" s="7">
        <v>58.604441999999992</v>
      </c>
    </row>
    <row r="40" spans="1:6" x14ac:dyDescent="0.25">
      <c r="A40" s="6" t="s">
        <v>612</v>
      </c>
      <c r="B40" s="7" t="s">
        <v>836</v>
      </c>
      <c r="C40" s="7" t="s">
        <v>836</v>
      </c>
      <c r="D40" s="7">
        <v>9.6829000000000001</v>
      </c>
      <c r="E40" s="7">
        <v>11.522800000000002</v>
      </c>
      <c r="F40" s="7">
        <v>6.3158999999999974</v>
      </c>
    </row>
    <row r="41" spans="1:6" x14ac:dyDescent="0.25">
      <c r="A41" s="6" t="s">
        <v>869</v>
      </c>
      <c r="B41" s="7" t="s">
        <v>836</v>
      </c>
      <c r="C41" s="7" t="s">
        <v>836</v>
      </c>
      <c r="D41" s="7">
        <v>-3.65</v>
      </c>
      <c r="E41" s="7" t="s">
        <v>836</v>
      </c>
      <c r="F41" s="7" t="s">
        <v>836</v>
      </c>
    </row>
    <row r="42" spans="1:6" x14ac:dyDescent="0.25">
      <c r="A42" s="6" t="s">
        <v>870</v>
      </c>
      <c r="B42" s="7" t="s">
        <v>836</v>
      </c>
      <c r="C42" s="7" t="s">
        <v>836</v>
      </c>
      <c r="D42" s="7">
        <v>118.504</v>
      </c>
      <c r="E42" s="7" t="s">
        <v>836</v>
      </c>
      <c r="F42" s="7" t="s">
        <v>836</v>
      </c>
    </row>
    <row r="43" spans="1:6" x14ac:dyDescent="0.25">
      <c r="A43" s="6" t="s">
        <v>871</v>
      </c>
      <c r="B43" s="7" t="s">
        <v>836</v>
      </c>
      <c r="C43" s="7" t="s">
        <v>836</v>
      </c>
      <c r="D43" s="7">
        <v>90</v>
      </c>
      <c r="E43" s="7">
        <v>90</v>
      </c>
      <c r="F43" s="7" t="s">
        <v>836</v>
      </c>
    </row>
    <row r="44" spans="1:6" x14ac:dyDescent="0.25">
      <c r="A44" s="6" t="s">
        <v>872</v>
      </c>
      <c r="B44" s="7" t="s">
        <v>836</v>
      </c>
      <c r="C44" s="7">
        <v>-2.863</v>
      </c>
      <c r="D44" s="7" t="s">
        <v>836</v>
      </c>
      <c r="E44" s="7" t="s">
        <v>836</v>
      </c>
      <c r="F44" s="7" t="s">
        <v>836</v>
      </c>
    </row>
    <row r="45" spans="1:6" x14ac:dyDescent="0.25">
      <c r="A45" s="16" t="s">
        <v>873</v>
      </c>
      <c r="B45" s="218">
        <v>188.73500000000001</v>
      </c>
      <c r="C45" s="218" t="s">
        <v>836</v>
      </c>
      <c r="D45" s="218" t="s">
        <v>836</v>
      </c>
      <c r="E45" s="218" t="s">
        <v>836</v>
      </c>
      <c r="F45" s="218" t="s">
        <v>836</v>
      </c>
    </row>
    <row r="46" spans="1:6" x14ac:dyDescent="0.25">
      <c r="A46" s="11" t="s">
        <v>321</v>
      </c>
      <c r="B46" s="653">
        <v>325.81660106015005</v>
      </c>
      <c r="C46" s="653">
        <v>-51.786864128326826</v>
      </c>
      <c r="D46" s="653">
        <v>288.97254714344865</v>
      </c>
      <c r="E46" s="653">
        <v>26.797854014517767</v>
      </c>
      <c r="F46" s="653">
        <v>-189.60393003640209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/>
  <dimension ref="B4:R44"/>
  <sheetViews>
    <sheetView showGridLines="0" zoomScaleNormal="100" workbookViewId="0"/>
  </sheetViews>
  <sheetFormatPr defaultColWidth="8.85546875" defaultRowHeight="12.75" x14ac:dyDescent="0.2"/>
  <cols>
    <col min="1" max="1" width="10.140625" style="6" customWidth="1"/>
    <col min="2" max="2" width="11.28515625" style="6" customWidth="1"/>
    <col min="3" max="9" width="8.85546875" style="6"/>
    <col min="10" max="10" width="18.28515625" style="6" bestFit="1" customWidth="1"/>
    <col min="11" max="11" width="18.28515625" style="6" customWidth="1"/>
    <col min="12" max="17" width="8.85546875" style="6"/>
    <col min="18" max="18" width="8.85546875" style="136"/>
    <col min="19" max="16384" width="8.85546875" style="6"/>
  </cols>
  <sheetData>
    <row r="4" spans="2:18" x14ac:dyDescent="0.2">
      <c r="B4" s="127" t="s">
        <v>790</v>
      </c>
      <c r="D4" s="129"/>
    </row>
    <row r="5" spans="2:18" x14ac:dyDescent="0.2">
      <c r="J5" s="11" t="s">
        <v>207</v>
      </c>
      <c r="K5" s="11"/>
    </row>
    <row r="6" spans="2:18" x14ac:dyDescent="0.2">
      <c r="J6" s="20"/>
      <c r="K6" s="20"/>
      <c r="L6" s="540" t="s">
        <v>283</v>
      </c>
      <c r="M6" s="540" t="s">
        <v>284</v>
      </c>
      <c r="N6" s="540" t="s">
        <v>593</v>
      </c>
      <c r="O6" s="540" t="s">
        <v>594</v>
      </c>
      <c r="P6" s="540" t="s">
        <v>595</v>
      </c>
      <c r="Q6" s="540" t="s">
        <v>596</v>
      </c>
    </row>
    <row r="7" spans="2:18" x14ac:dyDescent="0.2">
      <c r="J7" s="11" t="s">
        <v>94</v>
      </c>
      <c r="K7" s="11" t="s">
        <v>939</v>
      </c>
      <c r="L7" s="7">
        <v>2.9844455124718299</v>
      </c>
      <c r="M7" s="7">
        <v>3.7332724652379401</v>
      </c>
      <c r="N7" s="7">
        <v>3.37945892577005</v>
      </c>
      <c r="O7" s="7">
        <v>3.4687447837404202</v>
      </c>
      <c r="P7" s="7">
        <v>3.5615693624834601</v>
      </c>
      <c r="Q7" s="7">
        <v>4.24554346862804</v>
      </c>
    </row>
    <row r="8" spans="2:18" x14ac:dyDescent="0.2">
      <c r="J8" s="11" t="s">
        <v>95</v>
      </c>
      <c r="K8" s="11" t="s">
        <v>1404</v>
      </c>
      <c r="L8" s="7">
        <v>1.8065900349373414</v>
      </c>
      <c r="M8" s="7">
        <v>1.8270919041007212</v>
      </c>
      <c r="N8" s="7">
        <v>1.9397784643920459</v>
      </c>
      <c r="O8" s="7">
        <v>1.8205216538272242</v>
      </c>
      <c r="P8" s="7">
        <v>1.9121543279507023</v>
      </c>
      <c r="Q8" s="7">
        <v>1.124786786774463</v>
      </c>
      <c r="R8" s="7"/>
    </row>
    <row r="9" spans="2:18" x14ac:dyDescent="0.2">
      <c r="J9" s="11" t="s">
        <v>96</v>
      </c>
      <c r="K9" s="11" t="s">
        <v>1405</v>
      </c>
      <c r="L9" s="7">
        <v>-0.20033684175736183</v>
      </c>
      <c r="M9" s="7">
        <v>-5.3536625203992334E-2</v>
      </c>
      <c r="N9" s="7">
        <v>-0.24602935606971038</v>
      </c>
      <c r="O9" s="7">
        <v>0.64735645464789082</v>
      </c>
      <c r="P9" s="7">
        <v>0.53895225960552773</v>
      </c>
      <c r="Q9" s="7">
        <v>0.43905533777850553</v>
      </c>
    </row>
    <row r="10" spans="2:18" x14ac:dyDescent="0.2">
      <c r="J10" s="11" t="s">
        <v>97</v>
      </c>
      <c r="K10" s="11" t="s">
        <v>1406</v>
      </c>
      <c r="L10" s="7">
        <v>0.14905867463923061</v>
      </c>
      <c r="M10" s="7">
        <v>-1.2085016404080102</v>
      </c>
      <c r="N10" s="7">
        <v>2.2047030527999292</v>
      </c>
      <c r="O10" s="7">
        <v>1.4735826368460507</v>
      </c>
      <c r="P10" s="7">
        <v>2.3354865357144057</v>
      </c>
      <c r="Q10" s="7">
        <v>4.1394168512633733</v>
      </c>
    </row>
    <row r="11" spans="2:18" x14ac:dyDescent="0.2">
      <c r="J11" s="11" t="s">
        <v>98</v>
      </c>
      <c r="K11" s="11" t="s">
        <v>1407</v>
      </c>
      <c r="L11" s="7">
        <v>1.0775465911641606</v>
      </c>
      <c r="M11" s="7">
        <v>0.44402356625077194</v>
      </c>
      <c r="N11" s="7">
        <v>-1.5801216551489223</v>
      </c>
      <c r="O11" s="7">
        <v>2.7151538703069007</v>
      </c>
      <c r="P11" s="7">
        <v>-0.62341009725272312</v>
      </c>
      <c r="Q11" s="7">
        <v>0.83936417634790517</v>
      </c>
    </row>
    <row r="12" spans="2:18" x14ac:dyDescent="0.2">
      <c r="D12" s="129"/>
      <c r="J12" s="11" t="s">
        <v>285</v>
      </c>
      <c r="K12" s="11" t="s">
        <v>1408</v>
      </c>
      <c r="L12" s="7">
        <f>L7-SUM(L8:L11)</f>
        <v>0.15158705348845913</v>
      </c>
      <c r="M12" s="7">
        <f t="shared" ref="M12:Q12" si="0">M7-SUM(M8:M11)</f>
        <v>2.7241952604984494</v>
      </c>
      <c r="N12" s="7">
        <f t="shared" si="0"/>
        <v>1.0611284197967077</v>
      </c>
      <c r="O12" s="7">
        <f t="shared" si="0"/>
        <v>-3.1878698318876468</v>
      </c>
      <c r="P12" s="7">
        <f t="shared" si="0"/>
        <v>-0.60161366353445311</v>
      </c>
      <c r="Q12" s="7">
        <f t="shared" si="0"/>
        <v>-2.2970796835362064</v>
      </c>
      <c r="R12" s="7"/>
    </row>
    <row r="13" spans="2:18" x14ac:dyDescent="0.2">
      <c r="D13" s="129"/>
    </row>
    <row r="14" spans="2:18" x14ac:dyDescent="0.2">
      <c r="D14" s="129"/>
    </row>
    <row r="15" spans="2:18" x14ac:dyDescent="0.2">
      <c r="D15" s="129"/>
      <c r="J15" s="11" t="s">
        <v>208</v>
      </c>
      <c r="K15" s="11"/>
    </row>
    <row r="16" spans="2:18" x14ac:dyDescent="0.2">
      <c r="D16" s="129"/>
      <c r="J16" s="20"/>
      <c r="K16" s="20"/>
      <c r="L16" s="20">
        <v>2016</v>
      </c>
      <c r="M16" s="20">
        <v>2017</v>
      </c>
      <c r="N16" s="20">
        <v>2018</v>
      </c>
      <c r="O16" s="20">
        <v>2019</v>
      </c>
      <c r="P16" s="20">
        <v>2020</v>
      </c>
      <c r="Q16" s="20">
        <v>2021</v>
      </c>
    </row>
    <row r="17" spans="2:17" x14ac:dyDescent="0.2">
      <c r="B17" s="11" t="s">
        <v>174</v>
      </c>
      <c r="D17" s="129"/>
      <c r="J17" s="11" t="s">
        <v>94</v>
      </c>
      <c r="K17" s="11" t="s">
        <v>939</v>
      </c>
      <c r="L17" s="7">
        <v>3.3246952959640259</v>
      </c>
      <c r="M17" s="7">
        <v>3.400166311079853</v>
      </c>
      <c r="N17" s="7">
        <v>4.07473657002304</v>
      </c>
      <c r="O17" s="7">
        <v>4.4995126620852952</v>
      </c>
      <c r="P17" s="7">
        <v>3.9148883673591124</v>
      </c>
      <c r="Q17" s="7">
        <v>3.3252780949083203</v>
      </c>
    </row>
    <row r="18" spans="2:17" x14ac:dyDescent="0.2">
      <c r="D18" s="129"/>
      <c r="J18" s="11" t="s">
        <v>95</v>
      </c>
      <c r="K18" s="11" t="s">
        <v>1404</v>
      </c>
      <c r="L18" s="7">
        <v>1.3963667951521868</v>
      </c>
      <c r="M18" s="7">
        <v>1.8501930503102832</v>
      </c>
      <c r="N18" s="7">
        <v>1.5161055236113135</v>
      </c>
      <c r="O18" s="7">
        <v>1.6548814963483358</v>
      </c>
      <c r="P18" s="7">
        <v>1.4273435216696402</v>
      </c>
      <c r="Q18" s="7">
        <v>1.2107592223791654</v>
      </c>
    </row>
    <row r="19" spans="2:17" x14ac:dyDescent="0.2">
      <c r="D19" s="129"/>
      <c r="J19" s="11" t="s">
        <v>96</v>
      </c>
      <c r="K19" s="11" t="s">
        <v>1405</v>
      </c>
      <c r="L19" s="7">
        <v>0.29698449927489645</v>
      </c>
      <c r="M19" s="7">
        <v>4.3708406098439963E-2</v>
      </c>
      <c r="N19" s="7">
        <v>0.31891811037680978</v>
      </c>
      <c r="O19" s="7">
        <v>0.2615118210667573</v>
      </c>
      <c r="P19" s="7">
        <v>0.28826526161742927</v>
      </c>
      <c r="Q19" s="7">
        <v>0.19847919087263702</v>
      </c>
    </row>
    <row r="20" spans="2:17" x14ac:dyDescent="0.2">
      <c r="D20" s="129"/>
      <c r="J20" s="11" t="s">
        <v>97</v>
      </c>
      <c r="K20" s="11" t="s">
        <v>1406</v>
      </c>
      <c r="L20" s="7">
        <v>-2.0173757423893468</v>
      </c>
      <c r="M20" s="7">
        <v>0.69121935496180387</v>
      </c>
      <c r="N20" s="7">
        <v>2.0707320065827712</v>
      </c>
      <c r="O20" s="7">
        <v>0.70397639075956842</v>
      </c>
      <c r="P20" s="7">
        <v>0.67959105934527186</v>
      </c>
      <c r="Q20" s="7">
        <v>0.66810708551263565</v>
      </c>
    </row>
    <row r="21" spans="2:17" x14ac:dyDescent="0.2">
      <c r="D21" s="129"/>
      <c r="J21" s="11" t="s">
        <v>98</v>
      </c>
      <c r="K21" s="11" t="s">
        <v>1407</v>
      </c>
      <c r="L21" s="7">
        <v>2.6191034962794695</v>
      </c>
      <c r="M21" s="7">
        <v>0.64716301244011798</v>
      </c>
      <c r="N21" s="7">
        <v>0.64495182217658253</v>
      </c>
      <c r="O21" s="7">
        <v>1.7333830794355625</v>
      </c>
      <c r="P21" s="7">
        <v>1.5186874846274931</v>
      </c>
      <c r="Q21" s="7">
        <v>1.2424721366319247</v>
      </c>
    </row>
    <row r="22" spans="2:17" x14ac:dyDescent="0.2">
      <c r="J22" s="11" t="s">
        <v>285</v>
      </c>
      <c r="K22" s="11" t="s">
        <v>1408</v>
      </c>
      <c r="L22" s="7">
        <v>1.0296162476468202</v>
      </c>
      <c r="M22" s="7">
        <v>0.16788248726920774</v>
      </c>
      <c r="N22" s="7">
        <v>-0.47597089272443682</v>
      </c>
      <c r="O22" s="7">
        <v>0.14575987447507099</v>
      </c>
      <c r="P22" s="7">
        <v>1.0010400992777058E-3</v>
      </c>
      <c r="Q22" s="7">
        <v>5.460459511957616E-3</v>
      </c>
    </row>
    <row r="24" spans="2:17" x14ac:dyDescent="0.2">
      <c r="B24" s="127" t="s">
        <v>791</v>
      </c>
    </row>
    <row r="44" spans="2:11" x14ac:dyDescent="0.2">
      <c r="B44" s="127" t="s">
        <v>1409</v>
      </c>
      <c r="K44" s="127" t="s">
        <v>1410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9"/>
  <dimension ref="B4:Z47"/>
  <sheetViews>
    <sheetView showGridLines="0" topLeftCell="A40" zoomScaleNormal="100" workbookViewId="0">
      <selection activeCell="K47" sqref="K47"/>
    </sheetView>
  </sheetViews>
  <sheetFormatPr defaultColWidth="8.85546875" defaultRowHeight="12.75" x14ac:dyDescent="0.2"/>
  <cols>
    <col min="1" max="1" width="9.42578125" style="6" customWidth="1"/>
    <col min="2" max="2" width="8.85546875" style="6" customWidth="1"/>
    <col min="3" max="11" width="8.140625" style="6" customWidth="1"/>
    <col min="12" max="12" width="22.28515625" style="6" bestFit="1" customWidth="1"/>
    <col min="13" max="13" width="22.28515625" style="6" customWidth="1"/>
    <col min="14" max="14" width="14.28515625" style="6" bestFit="1" customWidth="1"/>
    <col min="15" max="25" width="8.140625" style="6" customWidth="1"/>
    <col min="26" max="27" width="9" style="6" bestFit="1" customWidth="1"/>
    <col min="28" max="30" width="9.140625" style="6" bestFit="1" customWidth="1"/>
    <col min="31" max="39" width="9" style="6" bestFit="1" customWidth="1"/>
    <col min="40" max="42" width="9.140625" style="6" bestFit="1" customWidth="1"/>
    <col min="43" max="16384" width="8.85546875" style="6"/>
  </cols>
  <sheetData>
    <row r="4" spans="2:25" x14ac:dyDescent="0.2">
      <c r="B4" s="127" t="s">
        <v>804</v>
      </c>
      <c r="L4" s="11" t="s">
        <v>204</v>
      </c>
      <c r="M4" s="11"/>
    </row>
    <row r="6" spans="2:25" x14ac:dyDescent="0.2">
      <c r="L6" s="11" t="s">
        <v>209</v>
      </c>
      <c r="M6" s="11"/>
    </row>
    <row r="7" spans="2:25" x14ac:dyDescent="0.2">
      <c r="L7" s="138"/>
      <c r="M7" s="138"/>
      <c r="N7" s="139">
        <v>2013</v>
      </c>
      <c r="O7" s="139">
        <v>2014</v>
      </c>
      <c r="P7" s="139">
        <v>2015</v>
      </c>
      <c r="Q7" s="139">
        <v>2016</v>
      </c>
      <c r="R7" s="139">
        <v>2017</v>
      </c>
      <c r="S7" s="139">
        <v>2018</v>
      </c>
      <c r="T7" s="139">
        <v>2019</v>
      </c>
      <c r="U7" s="139">
        <v>2020</v>
      </c>
      <c r="V7" s="139">
        <v>2021</v>
      </c>
    </row>
    <row r="8" spans="2:25" x14ac:dyDescent="0.2">
      <c r="L8" s="140" t="s">
        <v>83</v>
      </c>
      <c r="M8" s="140" t="s">
        <v>1398</v>
      </c>
      <c r="N8" s="141">
        <v>-0.77760944641082075</v>
      </c>
      <c r="O8" s="141">
        <v>1.4094189032186399</v>
      </c>
      <c r="P8" s="142">
        <v>1.9768355607293842</v>
      </c>
      <c r="Q8" s="141">
        <v>2.3797834852236246</v>
      </c>
      <c r="R8" s="141">
        <v>2.2062007307902736</v>
      </c>
      <c r="S8" s="141">
        <v>1.9788488243035269</v>
      </c>
      <c r="T8" s="141">
        <v>1.1404279318862116</v>
      </c>
      <c r="U8" s="141">
        <v>0.87120048972815833</v>
      </c>
      <c r="V8" s="7">
        <v>0.66797109230411889</v>
      </c>
    </row>
    <row r="9" spans="2:25" x14ac:dyDescent="0.2">
      <c r="L9" s="140" t="s">
        <v>84</v>
      </c>
      <c r="M9" s="140" t="s">
        <v>1399</v>
      </c>
      <c r="N9" s="143">
        <v>-4.2590136581495089E-2</v>
      </c>
      <c r="O9" s="143">
        <v>0.41227031028837008</v>
      </c>
      <c r="P9" s="144">
        <v>0.26804321257819697</v>
      </c>
      <c r="Q9" s="143">
        <v>0.25556912650848129</v>
      </c>
      <c r="R9" s="143">
        <v>0.18327919832799822</v>
      </c>
      <c r="S9" s="143">
        <v>0.23452252042528596</v>
      </c>
      <c r="T9" s="143">
        <v>9.4797673850854247E-2</v>
      </c>
      <c r="U9" s="143">
        <v>7.1782031369577254E-2</v>
      </c>
      <c r="V9" s="7">
        <v>4.7086801322647469E-2</v>
      </c>
      <c r="Y9" s="129"/>
    </row>
    <row r="10" spans="2:25" x14ac:dyDescent="0.2">
      <c r="L10" s="140" t="s">
        <v>85</v>
      </c>
      <c r="M10" s="140" t="s">
        <v>1400</v>
      </c>
      <c r="N10" s="143">
        <v>-0.34577895424922156</v>
      </c>
      <c r="O10" s="143">
        <v>0.76131793302865658</v>
      </c>
      <c r="P10" s="144">
        <v>1.227583036494617</v>
      </c>
      <c r="Q10" s="143">
        <v>1.2378826314004245</v>
      </c>
      <c r="R10" s="143">
        <v>1.0369018491208073</v>
      </c>
      <c r="S10" s="143">
        <v>0.92769417972891255</v>
      </c>
      <c r="T10" s="143">
        <v>0.62708933519355137</v>
      </c>
      <c r="U10" s="143">
        <v>0.45486823018612416</v>
      </c>
      <c r="V10" s="7">
        <v>0.37412472575381356</v>
      </c>
    </row>
    <row r="11" spans="2:25" x14ac:dyDescent="0.2">
      <c r="E11" s="129"/>
      <c r="L11" s="140" t="s">
        <v>86</v>
      </c>
      <c r="M11" s="140" t="s">
        <v>1401</v>
      </c>
      <c r="N11" s="143">
        <v>-0.30682097331135011</v>
      </c>
      <c r="O11" s="143">
        <v>0.41523529924265357</v>
      </c>
      <c r="P11" s="144">
        <v>0.48377324236926972</v>
      </c>
      <c r="Q11" s="143">
        <v>0.79052638682861953</v>
      </c>
      <c r="R11" s="143">
        <v>0.93160463221586653</v>
      </c>
      <c r="S11" s="143">
        <v>0.57096454653544648</v>
      </c>
      <c r="T11" s="143">
        <v>0.34848170139601581</v>
      </c>
      <c r="U11" s="143">
        <v>0.29441481253056695</v>
      </c>
      <c r="V11" s="7">
        <v>0.22069144309403288</v>
      </c>
    </row>
    <row r="12" spans="2:25" x14ac:dyDescent="0.2">
      <c r="E12" s="129"/>
      <c r="L12" s="140" t="s">
        <v>87</v>
      </c>
      <c r="M12" s="140" t="s">
        <v>1402</v>
      </c>
      <c r="N12" s="143">
        <v>-0.2357619781647477</v>
      </c>
      <c r="O12" s="143">
        <v>-0.10956774566415919</v>
      </c>
      <c r="P12" s="144">
        <v>-4.4756334370752167E-2</v>
      </c>
      <c r="Q12" s="143">
        <v>0.13153385144085269</v>
      </c>
      <c r="R12" s="143">
        <v>0.1266668648529177</v>
      </c>
      <c r="S12" s="143">
        <v>0.26569229248445175</v>
      </c>
      <c r="T12" s="143">
        <v>0.11012006103751457</v>
      </c>
      <c r="U12" s="143">
        <v>7.850803898380837E-2</v>
      </c>
      <c r="V12" s="7">
        <v>5.3914422140074539E-2</v>
      </c>
    </row>
    <row r="13" spans="2:25" x14ac:dyDescent="0.2">
      <c r="E13" s="129"/>
      <c r="L13" s="140" t="s">
        <v>280</v>
      </c>
      <c r="M13" s="140" t="s">
        <v>1403</v>
      </c>
      <c r="N13" s="143">
        <v>0.15334259589598118</v>
      </c>
      <c r="O13" s="143">
        <v>-6.9836893676864173E-2</v>
      </c>
      <c r="P13" s="144">
        <v>4.2192403658053879E-2</v>
      </c>
      <c r="Q13" s="143">
        <v>-3.5728510954757917E-2</v>
      </c>
      <c r="R13" s="143">
        <v>-7.225181372732789E-2</v>
      </c>
      <c r="S13" s="143">
        <v>-2.002471487057042E-2</v>
      </c>
      <c r="T13" s="143">
        <v>-4.0060839591732976E-2</v>
      </c>
      <c r="U13" s="143">
        <v>-2.8372623341906315E-2</v>
      </c>
      <c r="V13" s="7">
        <v>-2.7846300006459889E-2</v>
      </c>
    </row>
    <row r="14" spans="2:25" x14ac:dyDescent="0.2">
      <c r="E14" s="129"/>
      <c r="L14" s="145"/>
      <c r="M14" s="145"/>
    </row>
    <row r="15" spans="2:25" x14ac:dyDescent="0.2">
      <c r="E15" s="129"/>
      <c r="L15" s="140" t="s">
        <v>210</v>
      </c>
      <c r="M15" s="140"/>
    </row>
    <row r="16" spans="2:25" x14ac:dyDescent="0.2">
      <c r="E16" s="129"/>
      <c r="L16" s="20"/>
      <c r="M16" s="20"/>
      <c r="N16" s="146">
        <v>2015</v>
      </c>
      <c r="O16" s="146">
        <v>2016</v>
      </c>
      <c r="P16" s="146">
        <v>2017</v>
      </c>
      <c r="Q16" s="146">
        <v>2018</v>
      </c>
      <c r="R16" s="146">
        <v>2019</v>
      </c>
      <c r="S16" s="146">
        <v>2020</v>
      </c>
      <c r="T16" s="146">
        <v>2021</v>
      </c>
    </row>
    <row r="17" spans="2:26" x14ac:dyDescent="0.2">
      <c r="E17" s="129"/>
      <c r="K17" s="147"/>
      <c r="L17" s="11" t="s">
        <v>100</v>
      </c>
      <c r="M17" s="11" t="s">
        <v>1358</v>
      </c>
      <c r="N17" s="148">
        <v>-0.30685544460117209</v>
      </c>
      <c r="O17" s="148">
        <v>-0.51612820803027648</v>
      </c>
      <c r="P17" s="148">
        <v>1.2758612857026457</v>
      </c>
      <c r="Q17" s="148">
        <v>2.5028251971222613</v>
      </c>
      <c r="R17" s="148">
        <v>2.4965939110879165</v>
      </c>
      <c r="S17" s="148">
        <v>2.4836696291582459</v>
      </c>
      <c r="T17" s="148">
        <v>2.4951698246804552</v>
      </c>
    </row>
    <row r="18" spans="2:26" x14ac:dyDescent="0.2">
      <c r="B18" s="11" t="s">
        <v>173</v>
      </c>
      <c r="E18" s="129"/>
      <c r="L18" s="11" t="s">
        <v>101</v>
      </c>
      <c r="M18" s="11" t="s">
        <v>1359</v>
      </c>
      <c r="N18" s="148">
        <v>8.0362096645692938E-2</v>
      </c>
      <c r="O18" s="148">
        <v>0.17326731824941455</v>
      </c>
      <c r="P18" s="148">
        <v>0.87553326711939694</v>
      </c>
      <c r="Q18" s="148">
        <v>1.6336309211233262</v>
      </c>
      <c r="R18" s="148">
        <v>1.7687449925899175</v>
      </c>
      <c r="S18" s="148">
        <v>1.9495872174991262</v>
      </c>
      <c r="T18" s="148">
        <v>2.0495665180765132</v>
      </c>
      <c r="U18" s="148">
        <v>0.26928278976969811</v>
      </c>
      <c r="V18" s="148">
        <v>1.5912031869853127</v>
      </c>
      <c r="W18" s="148">
        <v>2.0417032285820813</v>
      </c>
      <c r="X18" s="148">
        <v>2.4</v>
      </c>
      <c r="Y18" s="149">
        <v>2.7</v>
      </c>
      <c r="Z18" s="7">
        <v>62.831688079299994</v>
      </c>
    </row>
    <row r="19" spans="2:26" x14ac:dyDescent="0.2">
      <c r="E19" s="129"/>
      <c r="L19" s="11" t="s">
        <v>102</v>
      </c>
      <c r="M19" s="11" t="s">
        <v>1360</v>
      </c>
      <c r="N19" s="148">
        <v>-5.8309602074485323E-2</v>
      </c>
      <c r="O19" s="148">
        <v>-0.12327560839583385</v>
      </c>
      <c r="P19" s="148">
        <v>0.71369693522654831</v>
      </c>
      <c r="Q19" s="148">
        <v>0.67386291466012627</v>
      </c>
      <c r="R19" s="148">
        <v>0.3109360311276676</v>
      </c>
      <c r="S19" s="148">
        <v>0.41901543243073752</v>
      </c>
      <c r="T19" s="148">
        <v>0.49156988559252052</v>
      </c>
      <c r="U19" s="148">
        <v>-0.82690909844267413</v>
      </c>
      <c r="V19" s="148">
        <v>3.4747916072871421</v>
      </c>
      <c r="W19" s="148">
        <v>1.4786571343718968</v>
      </c>
      <c r="X19" s="148">
        <v>1.7994832985686937</v>
      </c>
      <c r="Y19" s="149">
        <v>2.1994580919269202</v>
      </c>
      <c r="Z19" s="7">
        <v>16.865066390199996</v>
      </c>
    </row>
    <row r="20" spans="2:26" x14ac:dyDescent="0.2">
      <c r="E20" s="129"/>
      <c r="L20" s="11" t="s">
        <v>103</v>
      </c>
      <c r="M20" s="11" t="s">
        <v>1361</v>
      </c>
      <c r="N20" s="148">
        <v>-0.3289079391723797</v>
      </c>
      <c r="O20" s="148">
        <v>-0.2461199178838572</v>
      </c>
      <c r="P20" s="148">
        <v>-0.38336891664329975</v>
      </c>
      <c r="Q20" s="148">
        <v>0.19533136133880888</v>
      </c>
      <c r="R20" s="148">
        <v>0.36691288737033168</v>
      </c>
      <c r="S20" s="148">
        <v>0.11506697922838198</v>
      </c>
      <c r="T20" s="148">
        <v>-4.5966578988578366E-2</v>
      </c>
      <c r="U20" s="148">
        <v>-1.1862344220351706</v>
      </c>
      <c r="V20" s="148">
        <v>-1.9145370694209962</v>
      </c>
      <c r="W20" s="148">
        <v>1.01606562969494</v>
      </c>
      <c r="X20" s="148">
        <v>0.18660679931121749</v>
      </c>
      <c r="Y20" s="149">
        <v>0.18660679931119528</v>
      </c>
      <c r="Z20" s="7">
        <v>20.3032455305</v>
      </c>
    </row>
    <row r="21" spans="2:26" x14ac:dyDescent="0.2">
      <c r="E21" s="129"/>
      <c r="K21" s="147"/>
      <c r="L21" s="11" t="s">
        <v>104</v>
      </c>
      <c r="M21" s="11" t="s">
        <v>1362</v>
      </c>
      <c r="N21" s="150">
        <v>0</v>
      </c>
      <c r="O21" s="150">
        <v>-0.32</v>
      </c>
      <c r="P21" s="150">
        <v>7.0000000000000007E-2</v>
      </c>
      <c r="Q21" s="150">
        <v>0</v>
      </c>
      <c r="R21" s="150">
        <v>0.05</v>
      </c>
      <c r="S21" s="150">
        <v>0</v>
      </c>
      <c r="T21" s="150">
        <v>0</v>
      </c>
    </row>
    <row r="22" spans="2:26" x14ac:dyDescent="0.2">
      <c r="E22" s="129"/>
    </row>
    <row r="23" spans="2:26" x14ac:dyDescent="0.2">
      <c r="E23" s="129"/>
    </row>
    <row r="24" spans="2:26" x14ac:dyDescent="0.2">
      <c r="E24" s="129"/>
    </row>
    <row r="25" spans="2:26" x14ac:dyDescent="0.2">
      <c r="B25" s="127" t="s">
        <v>805</v>
      </c>
      <c r="E25" s="129"/>
    </row>
    <row r="26" spans="2:26" x14ac:dyDescent="0.2">
      <c r="E26" s="129"/>
    </row>
    <row r="27" spans="2:26" x14ac:dyDescent="0.2">
      <c r="E27" s="129"/>
    </row>
    <row r="28" spans="2:26" x14ac:dyDescent="0.2">
      <c r="E28" s="129"/>
    </row>
    <row r="29" spans="2:26" x14ac:dyDescent="0.2">
      <c r="E29" s="129"/>
    </row>
    <row r="30" spans="2:26" x14ac:dyDescent="0.2">
      <c r="E30" s="129"/>
    </row>
    <row r="31" spans="2:26" x14ac:dyDescent="0.2">
      <c r="E31" s="129"/>
    </row>
    <row r="32" spans="2:26" x14ac:dyDescent="0.2">
      <c r="E32" s="129"/>
    </row>
    <row r="33" spans="2:11" x14ac:dyDescent="0.2">
      <c r="E33" s="129"/>
    </row>
    <row r="47" spans="2:11" x14ac:dyDescent="0.2">
      <c r="B47" s="127" t="s">
        <v>1397</v>
      </c>
      <c r="K47" s="127" t="s">
        <v>1375</v>
      </c>
    </row>
  </sheetData>
  <dataConsolidate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7"/>
  <dimension ref="B2:GR176"/>
  <sheetViews>
    <sheetView showGridLines="0" zoomScaleNormal="100" workbookViewId="0">
      <selection activeCell="B4" sqref="B4"/>
    </sheetView>
  </sheetViews>
  <sheetFormatPr defaultColWidth="8.85546875" defaultRowHeight="12.75" x14ac:dyDescent="0.2"/>
  <cols>
    <col min="1" max="1" width="11.85546875" style="6" bestFit="1" customWidth="1"/>
    <col min="2" max="3" width="11.85546875" style="6" customWidth="1"/>
    <col min="4" max="4" width="9.42578125" style="6" customWidth="1"/>
    <col min="5" max="5" width="14.140625" style="6" customWidth="1"/>
    <col min="6" max="6" width="11.28515625" style="6" customWidth="1"/>
    <col min="7" max="8" width="8.85546875" style="6"/>
    <col min="9" max="9" width="16.42578125" style="6" customWidth="1"/>
    <col min="10" max="10" width="13.28515625" style="6" bestFit="1" customWidth="1"/>
    <col min="11" max="11" width="12.7109375" style="6" customWidth="1"/>
    <col min="12" max="12" width="13.140625" style="6" customWidth="1"/>
    <col min="13" max="14" width="14.140625" style="6" bestFit="1" customWidth="1"/>
    <col min="15" max="16" width="10.140625" style="6" customWidth="1"/>
    <col min="17" max="42" width="8.85546875" style="6" customWidth="1"/>
    <col min="43" max="44" width="9.42578125" style="6" bestFit="1" customWidth="1"/>
    <col min="45" max="45" width="9" style="6" bestFit="1" customWidth="1"/>
    <col min="46" max="50" width="9.42578125" style="6" bestFit="1" customWidth="1"/>
    <col min="51" max="53" width="10.5703125" style="6" bestFit="1" customWidth="1"/>
    <col min="54" max="54" width="9.42578125" style="6" bestFit="1" customWidth="1"/>
    <col min="55" max="57" width="10.5703125" style="6" bestFit="1" customWidth="1"/>
    <col min="58" max="58" width="9.42578125" style="6" bestFit="1" customWidth="1"/>
    <col min="59" max="61" width="10.5703125" style="6" bestFit="1" customWidth="1"/>
    <col min="62" max="63" width="9" style="6" bestFit="1" customWidth="1"/>
    <col min="64" max="66" width="9.42578125" style="6" bestFit="1" customWidth="1"/>
    <col min="67" max="67" width="9" style="6" bestFit="1" customWidth="1"/>
    <col min="68" max="70" width="9.42578125" style="6" bestFit="1" customWidth="1"/>
    <col min="71" max="71" width="9" style="6" bestFit="1" customWidth="1"/>
    <col min="72" max="74" width="9.42578125" style="6" bestFit="1" customWidth="1"/>
    <col min="75" max="76" width="9" style="6" bestFit="1" customWidth="1"/>
    <col min="77" max="79" width="9.42578125" style="6" bestFit="1" customWidth="1"/>
    <col min="80" max="80" width="9" style="6" bestFit="1" customWidth="1"/>
    <col min="81" max="83" width="9.42578125" style="6" bestFit="1" customWidth="1"/>
    <col min="84" max="84" width="9" style="6" bestFit="1" customWidth="1"/>
    <col min="85" max="87" width="9.42578125" style="6" bestFit="1" customWidth="1"/>
    <col min="88" max="89" width="9" style="6" bestFit="1" customWidth="1"/>
    <col min="90" max="92" width="9.42578125" style="6" bestFit="1" customWidth="1"/>
    <col min="93" max="93" width="9" style="6" bestFit="1" customWidth="1"/>
    <col min="94" max="96" width="9.42578125" style="6" bestFit="1" customWidth="1"/>
    <col min="97" max="98" width="9" style="6" bestFit="1" customWidth="1"/>
    <col min="99" max="102" width="9.42578125" style="6" bestFit="1" customWidth="1"/>
    <col min="103" max="105" width="10.5703125" style="6" bestFit="1" customWidth="1"/>
    <col min="106" max="106" width="9.42578125" style="6" bestFit="1" customWidth="1"/>
    <col min="107" max="109" width="10.5703125" style="6" bestFit="1" customWidth="1"/>
    <col min="110" max="111" width="9.42578125" style="6" bestFit="1" customWidth="1"/>
    <col min="112" max="114" width="10.5703125" style="6" bestFit="1" customWidth="1"/>
    <col min="115" max="115" width="9" style="6" bestFit="1" customWidth="1"/>
    <col min="116" max="118" width="9.42578125" style="6" bestFit="1" customWidth="1"/>
    <col min="119" max="119" width="9" style="6" bestFit="1" customWidth="1"/>
    <col min="120" max="122" width="9.42578125" style="6" bestFit="1" customWidth="1"/>
    <col min="123" max="123" width="9" style="6" bestFit="1" customWidth="1"/>
    <col min="124" max="127" width="9.42578125" style="6" bestFit="1" customWidth="1"/>
    <col min="128" max="128" width="9" style="6" bestFit="1" customWidth="1"/>
    <col min="129" max="131" width="9.42578125" style="6" bestFit="1" customWidth="1"/>
    <col min="132" max="132" width="9" style="6" bestFit="1" customWidth="1"/>
    <col min="133" max="135" width="9.42578125" style="6" bestFit="1" customWidth="1"/>
    <col min="136" max="137" width="9" style="6" bestFit="1" customWidth="1"/>
    <col min="138" max="140" width="9.42578125" style="6" bestFit="1" customWidth="1"/>
    <col min="141" max="141" width="9" style="6" bestFit="1" customWidth="1"/>
    <col min="142" max="144" width="9.42578125" style="6" bestFit="1" customWidth="1"/>
    <col min="145" max="145" width="9" style="6" bestFit="1" customWidth="1"/>
    <col min="146" max="148" width="9.42578125" style="6" bestFit="1" customWidth="1"/>
    <col min="149" max="16384" width="8.85546875" style="6"/>
  </cols>
  <sheetData>
    <row r="2" spans="2:200" ht="13.5" thickBot="1" x14ac:dyDescent="0.25">
      <c r="B2" s="57"/>
    </row>
    <row r="4" spans="2:200" ht="13.5" thickBot="1" x14ac:dyDescent="0.25">
      <c r="B4" s="127" t="s">
        <v>1440</v>
      </c>
      <c r="I4" s="128" t="s">
        <v>204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</row>
    <row r="6" spans="2:200" x14ac:dyDescent="0.2">
      <c r="H6" s="129"/>
      <c r="I6" s="11" t="s">
        <v>207</v>
      </c>
    </row>
    <row r="7" spans="2:200" x14ac:dyDescent="0.2">
      <c r="H7" s="129"/>
      <c r="I7" s="133" t="s">
        <v>152</v>
      </c>
      <c r="J7" s="134">
        <v>42006</v>
      </c>
      <c r="K7" s="134">
        <v>42013</v>
      </c>
      <c r="L7" s="134">
        <v>42020</v>
      </c>
      <c r="M7" s="134">
        <v>42027</v>
      </c>
      <c r="N7" s="134">
        <v>42034</v>
      </c>
      <c r="O7" s="134">
        <v>42041</v>
      </c>
      <c r="P7" s="134">
        <v>42048</v>
      </c>
      <c r="Q7" s="134">
        <v>42055</v>
      </c>
      <c r="R7" s="134">
        <v>42062</v>
      </c>
      <c r="S7" s="134">
        <v>42069</v>
      </c>
      <c r="T7" s="134">
        <v>42076</v>
      </c>
      <c r="U7" s="134">
        <v>42083</v>
      </c>
      <c r="V7" s="134">
        <v>42090</v>
      </c>
      <c r="W7" s="134">
        <v>42097</v>
      </c>
      <c r="X7" s="134">
        <v>42104</v>
      </c>
      <c r="Y7" s="134">
        <v>42111</v>
      </c>
      <c r="Z7" s="134">
        <v>42118</v>
      </c>
      <c r="AA7" s="134">
        <v>42125</v>
      </c>
      <c r="AB7" s="134">
        <v>42132</v>
      </c>
      <c r="AC7" s="134">
        <v>42139</v>
      </c>
      <c r="AD7" s="134">
        <v>42146</v>
      </c>
      <c r="AE7" s="134">
        <v>42153</v>
      </c>
      <c r="AF7" s="134">
        <v>42160</v>
      </c>
      <c r="AG7" s="134">
        <v>42167</v>
      </c>
      <c r="AH7" s="134">
        <v>42174</v>
      </c>
      <c r="AI7" s="134">
        <v>42181</v>
      </c>
      <c r="AJ7" s="134">
        <v>42188</v>
      </c>
      <c r="AK7" s="134">
        <v>42195</v>
      </c>
      <c r="AL7" s="134">
        <v>42202</v>
      </c>
      <c r="AM7" s="134">
        <v>42209</v>
      </c>
      <c r="AN7" s="134">
        <v>42216</v>
      </c>
      <c r="AO7" s="134">
        <v>42223</v>
      </c>
      <c r="AP7" s="134">
        <v>42230</v>
      </c>
      <c r="AQ7" s="134">
        <v>42237</v>
      </c>
      <c r="AR7" s="134">
        <v>42244</v>
      </c>
      <c r="AS7" s="134">
        <v>42251</v>
      </c>
      <c r="AT7" s="134">
        <v>42258</v>
      </c>
      <c r="AU7" s="134">
        <v>42265</v>
      </c>
      <c r="AV7" s="134">
        <v>42272</v>
      </c>
      <c r="AW7" s="134">
        <v>42279</v>
      </c>
      <c r="AX7" s="134">
        <v>42286</v>
      </c>
      <c r="AY7" s="134">
        <v>42293</v>
      </c>
      <c r="AZ7" s="134">
        <v>42300</v>
      </c>
      <c r="BA7" s="134">
        <v>42307</v>
      </c>
      <c r="BB7" s="134">
        <v>42314</v>
      </c>
      <c r="BC7" s="134">
        <v>42321</v>
      </c>
      <c r="BD7" s="134">
        <v>42328</v>
      </c>
      <c r="BE7" s="134">
        <v>42335</v>
      </c>
      <c r="BF7" s="134">
        <v>42342</v>
      </c>
      <c r="BG7" s="134">
        <v>42349</v>
      </c>
      <c r="BH7" s="134">
        <v>42356</v>
      </c>
      <c r="BI7" s="134">
        <v>42363</v>
      </c>
      <c r="BJ7" s="134">
        <v>42370</v>
      </c>
      <c r="BK7" s="134">
        <v>42377</v>
      </c>
      <c r="BL7" s="134">
        <v>42384</v>
      </c>
      <c r="BM7" s="134">
        <v>42391</v>
      </c>
      <c r="BN7" s="134">
        <v>42398</v>
      </c>
      <c r="BO7" s="134">
        <v>42405</v>
      </c>
      <c r="BP7" s="134">
        <v>42412</v>
      </c>
      <c r="BQ7" s="134">
        <v>42419</v>
      </c>
      <c r="BR7" s="134">
        <v>42426</v>
      </c>
      <c r="BS7" s="134">
        <v>42433</v>
      </c>
      <c r="BT7" s="134">
        <v>42440</v>
      </c>
      <c r="BU7" s="134">
        <v>42447</v>
      </c>
      <c r="BV7" s="134">
        <v>42454</v>
      </c>
      <c r="BW7" s="134">
        <v>42461</v>
      </c>
      <c r="BX7" s="134">
        <v>42468</v>
      </c>
      <c r="BY7" s="134">
        <v>42475</v>
      </c>
      <c r="BZ7" s="134">
        <v>42482</v>
      </c>
      <c r="CA7" s="134">
        <v>42489</v>
      </c>
      <c r="CB7" s="134">
        <v>42496</v>
      </c>
      <c r="CC7" s="134">
        <v>42503</v>
      </c>
      <c r="CD7" s="134">
        <v>42510</v>
      </c>
      <c r="CE7" s="134">
        <v>42517</v>
      </c>
      <c r="CF7" s="134">
        <v>42524</v>
      </c>
      <c r="CG7" s="134">
        <v>42531</v>
      </c>
      <c r="CH7" s="134">
        <v>42538</v>
      </c>
      <c r="CI7" s="134">
        <v>42545</v>
      </c>
      <c r="CJ7" s="134">
        <v>42552</v>
      </c>
      <c r="CK7" s="134">
        <v>42559</v>
      </c>
      <c r="CL7" s="134">
        <v>42566</v>
      </c>
      <c r="CM7" s="134">
        <v>42573</v>
      </c>
      <c r="CN7" s="134">
        <v>42580</v>
      </c>
      <c r="CO7" s="134">
        <v>42587</v>
      </c>
      <c r="CP7" s="134">
        <v>42594</v>
      </c>
      <c r="CQ7" s="134">
        <v>42601</v>
      </c>
      <c r="CR7" s="134">
        <v>42608</v>
      </c>
      <c r="CS7" s="134">
        <v>42615</v>
      </c>
      <c r="CT7" s="134">
        <v>42622</v>
      </c>
      <c r="CU7" s="134">
        <v>42629</v>
      </c>
      <c r="CV7" s="134">
        <v>42636</v>
      </c>
      <c r="CW7" s="134">
        <v>42643</v>
      </c>
      <c r="CX7" s="134">
        <v>42650</v>
      </c>
      <c r="CY7" s="134">
        <v>42657</v>
      </c>
      <c r="CZ7" s="134">
        <v>42664</v>
      </c>
      <c r="DA7" s="134">
        <v>42671</v>
      </c>
      <c r="DB7" s="134">
        <v>42678</v>
      </c>
      <c r="DC7" s="134">
        <v>42685</v>
      </c>
      <c r="DD7" s="134">
        <v>42692</v>
      </c>
      <c r="DE7" s="134">
        <v>42699</v>
      </c>
      <c r="DF7" s="134">
        <v>42706</v>
      </c>
      <c r="DG7" s="134">
        <v>42713</v>
      </c>
      <c r="DH7" s="134">
        <v>42720</v>
      </c>
      <c r="DI7" s="134">
        <v>42727</v>
      </c>
      <c r="DJ7" s="134">
        <v>42734</v>
      </c>
      <c r="DK7" s="134">
        <v>42741</v>
      </c>
      <c r="DL7" s="134">
        <v>42748</v>
      </c>
      <c r="DM7" s="134">
        <v>42755</v>
      </c>
      <c r="DN7" s="134">
        <v>42762</v>
      </c>
      <c r="DO7" s="134">
        <v>42769</v>
      </c>
      <c r="DP7" s="134">
        <v>42776</v>
      </c>
      <c r="DQ7" s="134">
        <v>42783</v>
      </c>
      <c r="DR7" s="134">
        <v>42790</v>
      </c>
      <c r="DS7" s="134">
        <v>42797</v>
      </c>
      <c r="DT7" s="134">
        <v>42804</v>
      </c>
      <c r="DU7" s="134">
        <v>42811</v>
      </c>
      <c r="DV7" s="134">
        <v>42818</v>
      </c>
      <c r="DW7" s="134">
        <v>42825</v>
      </c>
      <c r="DX7" s="134">
        <v>42832</v>
      </c>
      <c r="DY7" s="134">
        <v>42839</v>
      </c>
      <c r="DZ7" s="134">
        <v>42846</v>
      </c>
      <c r="EA7" s="134">
        <v>42853</v>
      </c>
      <c r="EB7" s="134">
        <v>42860</v>
      </c>
      <c r="EC7" s="134">
        <v>42867</v>
      </c>
      <c r="ED7" s="134">
        <v>42874</v>
      </c>
      <c r="EE7" s="134">
        <v>42881</v>
      </c>
      <c r="EF7" s="134">
        <v>42888</v>
      </c>
      <c r="EG7" s="134">
        <v>42895</v>
      </c>
      <c r="EH7" s="134">
        <v>42902</v>
      </c>
      <c r="EI7" s="134">
        <v>42909</v>
      </c>
      <c r="EJ7" s="134">
        <v>42916</v>
      </c>
      <c r="EK7" s="134">
        <v>42923</v>
      </c>
      <c r="EL7" s="134">
        <v>42930</v>
      </c>
      <c r="EM7" s="134">
        <v>42937</v>
      </c>
      <c r="EN7" s="134">
        <v>42944</v>
      </c>
      <c r="EO7" s="134">
        <v>42951</v>
      </c>
      <c r="EP7" s="134">
        <v>42958</v>
      </c>
      <c r="EQ7" s="134">
        <v>42965</v>
      </c>
      <c r="ER7" s="134">
        <v>42972</v>
      </c>
      <c r="ES7" s="134">
        <v>42979</v>
      </c>
      <c r="ET7" s="134">
        <v>42986</v>
      </c>
      <c r="EU7" s="134">
        <v>42993</v>
      </c>
      <c r="EV7" s="134">
        <v>43000</v>
      </c>
      <c r="EW7" s="134">
        <v>43007</v>
      </c>
      <c r="EX7" s="134">
        <v>43014</v>
      </c>
      <c r="EY7" s="134">
        <v>43021</v>
      </c>
      <c r="EZ7" s="134">
        <v>43028</v>
      </c>
      <c r="FA7" s="134">
        <v>43035</v>
      </c>
      <c r="FB7" s="134">
        <v>43042</v>
      </c>
      <c r="FC7" s="134">
        <v>43049</v>
      </c>
      <c r="FD7" s="134">
        <v>43056</v>
      </c>
      <c r="FE7" s="134">
        <v>43063</v>
      </c>
      <c r="FF7" s="134">
        <v>43070</v>
      </c>
      <c r="FG7" s="134">
        <v>43077</v>
      </c>
      <c r="FH7" s="134">
        <v>43084</v>
      </c>
      <c r="FI7" s="134">
        <v>43091</v>
      </c>
      <c r="FJ7" s="134">
        <v>43098</v>
      </c>
      <c r="FK7" s="134">
        <v>43105</v>
      </c>
      <c r="FL7" s="134">
        <v>43112</v>
      </c>
      <c r="FM7" s="134">
        <v>43119</v>
      </c>
      <c r="FN7" s="134">
        <v>43126</v>
      </c>
      <c r="FO7" s="134">
        <v>43133</v>
      </c>
      <c r="FP7" s="134">
        <v>43140</v>
      </c>
      <c r="FQ7" s="134">
        <v>43147</v>
      </c>
      <c r="FR7" s="134">
        <v>43154</v>
      </c>
      <c r="FS7" s="134">
        <v>43161</v>
      </c>
      <c r="FT7" s="134">
        <v>43168</v>
      </c>
      <c r="FU7" s="134">
        <v>43175</v>
      </c>
      <c r="FV7" s="134">
        <v>43182</v>
      </c>
      <c r="FW7" s="134">
        <v>43189</v>
      </c>
      <c r="FX7" s="134">
        <v>43196</v>
      </c>
      <c r="FY7" s="134">
        <v>43203</v>
      </c>
      <c r="FZ7" s="134">
        <v>43210</v>
      </c>
      <c r="GA7" s="134">
        <v>43217</v>
      </c>
      <c r="GB7" s="134">
        <v>43224</v>
      </c>
      <c r="GC7" s="134">
        <v>43231</v>
      </c>
      <c r="GD7" s="134">
        <v>43238</v>
      </c>
      <c r="GE7" s="134">
        <v>43245</v>
      </c>
      <c r="GF7" s="134">
        <v>43252</v>
      </c>
      <c r="GG7" s="134">
        <v>43259</v>
      </c>
      <c r="GH7" s="134">
        <v>43266</v>
      </c>
      <c r="GI7" s="134">
        <v>43273</v>
      </c>
      <c r="GJ7" s="134">
        <v>43280</v>
      </c>
      <c r="GK7" s="134">
        <v>43287</v>
      </c>
      <c r="GL7" s="134">
        <v>43294</v>
      </c>
      <c r="GM7" s="134">
        <v>43301</v>
      </c>
      <c r="GN7" s="134">
        <v>43308</v>
      </c>
      <c r="GO7" s="134">
        <v>43315</v>
      </c>
      <c r="GP7" s="134">
        <v>43322</v>
      </c>
      <c r="GQ7" s="134">
        <v>43329</v>
      </c>
      <c r="GR7" s="134">
        <v>43336</v>
      </c>
    </row>
    <row r="8" spans="2:200" x14ac:dyDescent="0.2">
      <c r="I8" s="135" t="s">
        <v>917</v>
      </c>
      <c r="J8" s="7">
        <v>144.63</v>
      </c>
      <c r="K8" s="7">
        <v>140.32</v>
      </c>
      <c r="L8" s="7">
        <v>135.94999999999999</v>
      </c>
      <c r="M8" s="7">
        <v>131.94999999999999</v>
      </c>
      <c r="N8" s="7">
        <v>132.65</v>
      </c>
      <c r="O8" s="7">
        <v>134.79</v>
      </c>
      <c r="P8" s="7">
        <v>135.37</v>
      </c>
      <c r="Q8" s="7">
        <v>135.51</v>
      </c>
      <c r="R8" s="7">
        <v>133.94</v>
      </c>
      <c r="S8" s="7">
        <v>131</v>
      </c>
      <c r="T8" s="7">
        <v>127.42</v>
      </c>
      <c r="U8" s="7">
        <v>129.9</v>
      </c>
      <c r="V8" s="7">
        <v>129.72999999999999</v>
      </c>
      <c r="W8" s="7">
        <v>130.54</v>
      </c>
      <c r="X8" s="7">
        <v>127.49</v>
      </c>
      <c r="Y8" s="7">
        <v>128.49</v>
      </c>
      <c r="Z8" s="7">
        <v>129.38</v>
      </c>
      <c r="AA8" s="7">
        <v>134.59</v>
      </c>
      <c r="AB8" s="7">
        <v>134.18</v>
      </c>
      <c r="AC8" s="7">
        <v>136.54</v>
      </c>
      <c r="AD8" s="7">
        <v>133.84</v>
      </c>
      <c r="AE8" s="7">
        <v>136.35</v>
      </c>
      <c r="AF8" s="7">
        <v>139.61000000000001</v>
      </c>
      <c r="AG8" s="7">
        <v>139.02000000000001</v>
      </c>
      <c r="AH8" s="7">
        <v>139.28</v>
      </c>
      <c r="AI8" s="7">
        <v>138.31</v>
      </c>
      <c r="AJ8" s="7">
        <v>136.43</v>
      </c>
      <c r="AK8" s="7">
        <v>136.91999999999999</v>
      </c>
      <c r="AL8" s="7">
        <v>134.38</v>
      </c>
      <c r="AM8" s="7">
        <v>135.97999999999999</v>
      </c>
      <c r="AN8" s="7">
        <v>136.08000000000001</v>
      </c>
      <c r="AO8" s="7">
        <v>136.24</v>
      </c>
      <c r="AP8" s="7">
        <v>138.1</v>
      </c>
      <c r="AQ8" s="7">
        <v>138.93</v>
      </c>
      <c r="AR8" s="7">
        <v>136.12</v>
      </c>
      <c r="AS8" s="7">
        <v>132.68</v>
      </c>
      <c r="AT8" s="7">
        <v>136.72</v>
      </c>
      <c r="AU8" s="7">
        <v>135.51</v>
      </c>
      <c r="AV8" s="7">
        <v>135.03</v>
      </c>
      <c r="AW8" s="7">
        <v>134.46</v>
      </c>
      <c r="AX8" s="7">
        <v>136.61000000000001</v>
      </c>
      <c r="AY8" s="7">
        <v>135.58000000000001</v>
      </c>
      <c r="AZ8" s="7">
        <v>133.84</v>
      </c>
      <c r="BA8" s="7">
        <v>132.75</v>
      </c>
      <c r="BB8" s="7">
        <v>132.25</v>
      </c>
      <c r="BC8" s="7">
        <v>132.09</v>
      </c>
      <c r="BD8" s="7">
        <v>130.77000000000001</v>
      </c>
      <c r="BE8" s="7">
        <v>130.09</v>
      </c>
      <c r="BF8" s="7">
        <v>133.96</v>
      </c>
      <c r="BG8" s="7">
        <v>132.93</v>
      </c>
      <c r="BH8" s="7">
        <v>131.66999999999999</v>
      </c>
      <c r="BI8" s="7">
        <v>131.96</v>
      </c>
      <c r="BJ8" s="7">
        <v>131.1</v>
      </c>
      <c r="BK8" s="7">
        <v>128.12</v>
      </c>
      <c r="BL8" s="7">
        <v>127.71</v>
      </c>
      <c r="BM8" s="7">
        <v>128.26</v>
      </c>
      <c r="BN8" s="7">
        <v>131.21</v>
      </c>
      <c r="BO8" s="7">
        <v>130.41</v>
      </c>
      <c r="BP8" s="7">
        <v>127.46</v>
      </c>
      <c r="BQ8" s="7">
        <v>125.31</v>
      </c>
      <c r="BR8" s="7">
        <v>124.63</v>
      </c>
      <c r="BS8" s="7">
        <v>125.18</v>
      </c>
      <c r="BT8" s="7">
        <v>127</v>
      </c>
      <c r="BU8" s="7">
        <v>125.72</v>
      </c>
      <c r="BV8" s="7">
        <v>126.28</v>
      </c>
      <c r="BW8" s="7">
        <v>127.21</v>
      </c>
      <c r="BX8" s="7">
        <v>123.19</v>
      </c>
      <c r="BY8" s="7">
        <v>122.72</v>
      </c>
      <c r="BZ8" s="7">
        <v>125.5</v>
      </c>
      <c r="CA8" s="7">
        <v>121.94</v>
      </c>
      <c r="CB8" s="7">
        <v>122.17</v>
      </c>
      <c r="CC8" s="7">
        <v>122.85</v>
      </c>
      <c r="CD8" s="7">
        <v>123.63</v>
      </c>
      <c r="CE8" s="7">
        <v>122.61</v>
      </c>
      <c r="CF8" s="7">
        <v>121.09</v>
      </c>
      <c r="CG8" s="7">
        <v>120.38</v>
      </c>
      <c r="CH8" s="7">
        <v>117.47</v>
      </c>
      <c r="CI8" s="7">
        <v>113.65</v>
      </c>
      <c r="CJ8" s="7">
        <v>114.16</v>
      </c>
      <c r="CK8" s="7">
        <v>111.11</v>
      </c>
      <c r="CL8" s="7">
        <v>115.69</v>
      </c>
      <c r="CM8" s="7">
        <v>116.51</v>
      </c>
      <c r="CN8" s="7">
        <v>114.06</v>
      </c>
      <c r="CO8" s="7">
        <v>112.87</v>
      </c>
      <c r="CP8" s="7">
        <v>113.06</v>
      </c>
      <c r="CQ8" s="7">
        <v>113.52</v>
      </c>
      <c r="CR8" s="7">
        <v>114</v>
      </c>
      <c r="CS8" s="7">
        <v>115.96</v>
      </c>
      <c r="CT8" s="7">
        <v>115.35</v>
      </c>
      <c r="CU8" s="7">
        <v>114.1</v>
      </c>
      <c r="CV8" s="7">
        <v>113.37</v>
      </c>
      <c r="CW8" s="7">
        <v>113.92</v>
      </c>
      <c r="CX8" s="7">
        <v>115.39</v>
      </c>
      <c r="CY8" s="7">
        <v>114.31</v>
      </c>
      <c r="CZ8" s="7">
        <v>112.95</v>
      </c>
      <c r="DA8" s="7">
        <v>115.06</v>
      </c>
      <c r="DB8" s="7">
        <v>114.87</v>
      </c>
      <c r="DC8" s="7">
        <v>115.76</v>
      </c>
      <c r="DD8" s="7">
        <v>117.43</v>
      </c>
      <c r="DE8" s="7">
        <v>119.82</v>
      </c>
      <c r="DF8" s="7">
        <v>121.08</v>
      </c>
      <c r="DG8" s="7">
        <v>121.76</v>
      </c>
      <c r="DH8" s="7">
        <v>123.22</v>
      </c>
      <c r="DI8" s="7">
        <v>122.66</v>
      </c>
      <c r="DJ8" s="7">
        <v>122.97</v>
      </c>
      <c r="DK8" s="7">
        <v>123.25</v>
      </c>
      <c r="DL8" s="7">
        <v>121.87</v>
      </c>
      <c r="DM8" s="7">
        <v>122.69</v>
      </c>
      <c r="DN8" s="7">
        <v>123.13</v>
      </c>
      <c r="DO8" s="7">
        <v>121.44</v>
      </c>
      <c r="DP8" s="7">
        <v>120.48</v>
      </c>
      <c r="DQ8" s="7">
        <v>119.81</v>
      </c>
      <c r="DR8" s="7">
        <v>118.44</v>
      </c>
      <c r="DS8" s="7">
        <v>121.13</v>
      </c>
      <c r="DT8" s="7">
        <v>122.53</v>
      </c>
      <c r="DU8" s="7">
        <v>121.03</v>
      </c>
      <c r="DV8" s="7">
        <v>120.22</v>
      </c>
      <c r="DW8" s="7">
        <v>118.67</v>
      </c>
      <c r="DX8" s="7">
        <v>117.65</v>
      </c>
      <c r="DY8" s="7">
        <v>115.36</v>
      </c>
      <c r="DZ8" s="7">
        <v>116.94</v>
      </c>
      <c r="EA8" s="7">
        <v>121.53</v>
      </c>
      <c r="EB8" s="7">
        <v>123.93</v>
      </c>
      <c r="EC8" s="7">
        <v>123.89</v>
      </c>
      <c r="ED8" s="7">
        <v>124.69</v>
      </c>
      <c r="EE8" s="7">
        <v>124.5</v>
      </c>
      <c r="EF8" s="7">
        <v>124.58</v>
      </c>
      <c r="EG8" s="7">
        <v>123.51</v>
      </c>
      <c r="EH8" s="7">
        <v>124.15</v>
      </c>
      <c r="EI8" s="7">
        <v>124.5</v>
      </c>
      <c r="EJ8" s="7">
        <v>128.4</v>
      </c>
      <c r="EK8" s="7">
        <v>129.91999999999999</v>
      </c>
      <c r="EL8" s="7">
        <v>129.07</v>
      </c>
      <c r="EM8" s="7">
        <v>129.61000000000001</v>
      </c>
      <c r="EN8" s="7">
        <v>130.03</v>
      </c>
      <c r="EO8" s="7">
        <v>130.31</v>
      </c>
      <c r="EP8" s="7">
        <v>129.07</v>
      </c>
      <c r="EQ8" s="7">
        <v>128.4</v>
      </c>
      <c r="ER8" s="7">
        <v>130.38999999999999</v>
      </c>
      <c r="ES8" s="7">
        <v>130.75</v>
      </c>
      <c r="ET8" s="7">
        <v>129.79</v>
      </c>
      <c r="EU8" s="7">
        <v>132.41999999999999</v>
      </c>
      <c r="EV8" s="7">
        <v>133.84</v>
      </c>
      <c r="EW8" s="7">
        <v>132.91999999999999</v>
      </c>
      <c r="EX8" s="7">
        <v>132.16</v>
      </c>
      <c r="EY8" s="7">
        <v>132.21</v>
      </c>
      <c r="EZ8" s="7">
        <v>133.77000000000001</v>
      </c>
      <c r="FA8" s="7">
        <v>131.97</v>
      </c>
      <c r="FB8" s="7">
        <v>132.41999999999999</v>
      </c>
      <c r="FC8" s="7">
        <v>132.38999999999999</v>
      </c>
      <c r="FD8" s="7">
        <v>132.16999999999999</v>
      </c>
      <c r="FE8" s="7">
        <v>133.08000000000001</v>
      </c>
      <c r="FF8" s="7">
        <v>133.46</v>
      </c>
      <c r="FG8" s="7">
        <v>133.6</v>
      </c>
      <c r="FH8" s="7">
        <v>132.30000000000001</v>
      </c>
      <c r="FI8" s="7">
        <v>134.36000000000001</v>
      </c>
      <c r="FJ8" s="7">
        <v>135.28</v>
      </c>
      <c r="FK8" s="7">
        <v>136.02000000000001</v>
      </c>
      <c r="FL8" s="7">
        <v>135.5</v>
      </c>
      <c r="FM8" s="7">
        <v>135.44999999999999</v>
      </c>
      <c r="FN8" s="7">
        <v>134.96</v>
      </c>
      <c r="FO8" s="7">
        <v>137.25</v>
      </c>
      <c r="FP8" s="7">
        <v>133.30000000000001</v>
      </c>
      <c r="FQ8" s="7">
        <v>131.88</v>
      </c>
      <c r="FR8" s="7">
        <v>131.41</v>
      </c>
      <c r="FS8" s="7">
        <v>130.22999999999999</v>
      </c>
      <c r="FT8" s="7">
        <v>131.46</v>
      </c>
      <c r="FU8" s="7">
        <v>130.28</v>
      </c>
      <c r="FV8" s="7">
        <v>129.4</v>
      </c>
      <c r="FW8" s="7">
        <v>130.97</v>
      </c>
      <c r="FX8" s="7">
        <v>131.32</v>
      </c>
      <c r="FY8" s="7">
        <v>132.38</v>
      </c>
      <c r="FZ8" s="7">
        <v>132.28</v>
      </c>
      <c r="GA8" s="7">
        <v>132.29</v>
      </c>
      <c r="GB8" s="7">
        <v>130.5</v>
      </c>
      <c r="GC8" s="7">
        <v>130.63</v>
      </c>
      <c r="GD8" s="7">
        <v>130.38999999999999</v>
      </c>
      <c r="GE8" s="7">
        <v>127.44</v>
      </c>
      <c r="GF8" s="7">
        <v>127.72</v>
      </c>
      <c r="GG8" s="7">
        <v>128.93</v>
      </c>
      <c r="GH8" s="7">
        <v>128.43</v>
      </c>
      <c r="GI8" s="7">
        <v>128.15</v>
      </c>
      <c r="GJ8" s="7">
        <v>129.36000000000001</v>
      </c>
      <c r="GK8" s="7">
        <v>129.77000000000001</v>
      </c>
      <c r="GL8" s="7">
        <v>131.30000000000001</v>
      </c>
      <c r="GM8" s="7">
        <v>130.63</v>
      </c>
      <c r="GN8" s="7">
        <v>129.44999999999999</v>
      </c>
      <c r="GO8" s="7">
        <v>128.69999999999999</v>
      </c>
      <c r="GP8" s="7">
        <v>126.51</v>
      </c>
      <c r="GQ8" s="7">
        <v>126.4</v>
      </c>
      <c r="GR8" s="7">
        <v>129.29</v>
      </c>
    </row>
    <row r="9" spans="2:200" x14ac:dyDescent="0.2">
      <c r="H9" s="129"/>
      <c r="I9" s="135" t="s">
        <v>286</v>
      </c>
      <c r="J9" s="7">
        <v>0.78302000000000005</v>
      </c>
      <c r="K9" s="7">
        <v>0.78110000000000002</v>
      </c>
      <c r="L9" s="7">
        <v>0.76361999999999997</v>
      </c>
      <c r="M9" s="7">
        <v>0.74765999999999999</v>
      </c>
      <c r="N9" s="7">
        <v>0.74955000000000005</v>
      </c>
      <c r="O9" s="7">
        <v>0.74231000000000003</v>
      </c>
      <c r="P9" s="7">
        <v>0.73985999999999996</v>
      </c>
      <c r="Q9" s="7">
        <v>0.73895999999999995</v>
      </c>
      <c r="R9" s="7">
        <v>0.72536</v>
      </c>
      <c r="S9" s="7">
        <v>0.72085999999999995</v>
      </c>
      <c r="T9" s="7">
        <v>0.71189000000000002</v>
      </c>
      <c r="U9" s="7">
        <v>0.72358999999999996</v>
      </c>
      <c r="V9" s="7">
        <v>0.73209999999999997</v>
      </c>
      <c r="W9" s="7">
        <v>0.73545000000000005</v>
      </c>
      <c r="X9" s="7">
        <v>0.72457000000000005</v>
      </c>
      <c r="Y9" s="7">
        <v>0.72214999999999996</v>
      </c>
      <c r="Z9" s="7">
        <v>0.71599999999999997</v>
      </c>
      <c r="AA9" s="7">
        <v>0.73929</v>
      </c>
      <c r="AB9" s="7">
        <v>0.72511999999999999</v>
      </c>
      <c r="AC9" s="7">
        <v>0.72789999999999999</v>
      </c>
      <c r="AD9" s="7">
        <v>0.71111000000000002</v>
      </c>
      <c r="AE9" s="7">
        <v>0.71862999999999999</v>
      </c>
      <c r="AF9" s="7">
        <v>0.72780999999999996</v>
      </c>
      <c r="AG9" s="7">
        <v>0.72404999999999997</v>
      </c>
      <c r="AH9" s="7">
        <v>0.71482999999999997</v>
      </c>
      <c r="AI9" s="7">
        <v>0.70923999999999998</v>
      </c>
      <c r="AJ9" s="7">
        <v>0.71382000000000001</v>
      </c>
      <c r="AK9" s="7">
        <v>0.71924999999999994</v>
      </c>
      <c r="AL9" s="7">
        <v>0.69445999999999997</v>
      </c>
      <c r="AM9" s="7">
        <v>0.70804999999999996</v>
      </c>
      <c r="AN9" s="7">
        <v>0.70309999999999995</v>
      </c>
      <c r="AO9" s="7">
        <v>0.70762999999999998</v>
      </c>
      <c r="AP9" s="7">
        <v>0.71033000000000002</v>
      </c>
      <c r="AQ9" s="7">
        <v>0.72545000000000004</v>
      </c>
      <c r="AR9" s="7">
        <v>0.72677999999999998</v>
      </c>
      <c r="AS9" s="7">
        <v>0.73460999999999999</v>
      </c>
      <c r="AT9" s="7">
        <v>0.73497999999999997</v>
      </c>
      <c r="AU9" s="7">
        <v>0.72707999999999995</v>
      </c>
      <c r="AV9" s="7">
        <v>0.73799000000000003</v>
      </c>
      <c r="AW9" s="7">
        <v>0.73821000000000003</v>
      </c>
      <c r="AX9" s="7">
        <v>0.74158999999999997</v>
      </c>
      <c r="AY9" s="7">
        <v>0.73509999999999998</v>
      </c>
      <c r="AZ9" s="7">
        <v>0.71943999999999997</v>
      </c>
      <c r="BA9" s="7">
        <v>0.71328000000000003</v>
      </c>
      <c r="BB9" s="7">
        <v>0.71369000000000005</v>
      </c>
      <c r="BC9" s="7">
        <v>0.70659000000000005</v>
      </c>
      <c r="BD9" s="7">
        <v>0.70091999999999999</v>
      </c>
      <c r="BE9" s="7">
        <v>0.70464000000000004</v>
      </c>
      <c r="BF9" s="7">
        <v>0.71986000000000006</v>
      </c>
      <c r="BG9" s="7">
        <v>0.72243000000000002</v>
      </c>
      <c r="BH9" s="7">
        <v>0.72946</v>
      </c>
      <c r="BI9" s="7">
        <v>0.73299999999999998</v>
      </c>
      <c r="BJ9" s="7">
        <v>0.73750000000000004</v>
      </c>
      <c r="BK9" s="7">
        <v>0.75261999999999996</v>
      </c>
      <c r="BL9" s="7">
        <v>0.76561000000000001</v>
      </c>
      <c r="BM9" s="7">
        <v>0.75707999999999998</v>
      </c>
      <c r="BN9" s="7">
        <v>0.76082000000000005</v>
      </c>
      <c r="BO9" s="7">
        <v>0.76895000000000002</v>
      </c>
      <c r="BP9" s="7">
        <v>0.77615000000000001</v>
      </c>
      <c r="BQ9" s="7">
        <v>0.77285999999999999</v>
      </c>
      <c r="BR9" s="7">
        <v>0.78817000000000004</v>
      </c>
      <c r="BS9" s="7">
        <v>0.77319000000000004</v>
      </c>
      <c r="BT9" s="7">
        <v>0.77531000000000005</v>
      </c>
      <c r="BU9" s="7">
        <v>0.77836000000000005</v>
      </c>
      <c r="BV9" s="7">
        <v>0.79049000000000003</v>
      </c>
      <c r="BW9" s="7">
        <v>0.80078000000000005</v>
      </c>
      <c r="BX9" s="7">
        <v>0.80674000000000001</v>
      </c>
      <c r="BY9" s="7">
        <v>0.79440999999999995</v>
      </c>
      <c r="BZ9" s="7">
        <v>0.77876999999999996</v>
      </c>
      <c r="CA9" s="7">
        <v>0.78364999999999996</v>
      </c>
      <c r="CB9" s="7">
        <v>0.79059000000000001</v>
      </c>
      <c r="CC9" s="7">
        <v>0.78739999999999999</v>
      </c>
      <c r="CD9" s="7">
        <v>0.77358000000000005</v>
      </c>
      <c r="CE9" s="7">
        <v>0.76015999999999995</v>
      </c>
      <c r="CF9" s="7">
        <v>0.78290999999999999</v>
      </c>
      <c r="CG9" s="7">
        <v>0.78903999999999996</v>
      </c>
      <c r="CH9" s="7">
        <v>0.78535999999999995</v>
      </c>
      <c r="CI9" s="7">
        <v>0.81274000000000002</v>
      </c>
      <c r="CJ9" s="7">
        <v>0.83869000000000005</v>
      </c>
      <c r="CK9" s="7">
        <v>0.85245000000000004</v>
      </c>
      <c r="CL9" s="7">
        <v>0.83660999999999996</v>
      </c>
      <c r="CM9" s="7">
        <v>0.83720000000000006</v>
      </c>
      <c r="CN9" s="7">
        <v>0.84462000000000004</v>
      </c>
      <c r="CO9" s="7">
        <v>0.84835000000000005</v>
      </c>
      <c r="CP9" s="7">
        <v>0.86399999999999999</v>
      </c>
      <c r="CQ9" s="7">
        <v>0.86648000000000003</v>
      </c>
      <c r="CR9" s="7">
        <v>0.85246</v>
      </c>
      <c r="CS9" s="7">
        <v>0.83931</v>
      </c>
      <c r="CT9" s="7">
        <v>0.84667999999999999</v>
      </c>
      <c r="CU9" s="7">
        <v>0.85790999999999995</v>
      </c>
      <c r="CV9" s="7">
        <v>0.86592999999999998</v>
      </c>
      <c r="CW9" s="7">
        <v>0.86607999999999996</v>
      </c>
      <c r="CX9" s="7">
        <v>0.90005000000000002</v>
      </c>
      <c r="CY9" s="7">
        <v>0.90036000000000005</v>
      </c>
      <c r="CZ9" s="7">
        <v>0.89002000000000003</v>
      </c>
      <c r="DA9" s="7">
        <v>0.90042999999999995</v>
      </c>
      <c r="DB9" s="7">
        <v>0.89000999999999997</v>
      </c>
      <c r="DC9" s="7">
        <v>0.86246</v>
      </c>
      <c r="DD9" s="7">
        <v>0.85780000000000001</v>
      </c>
      <c r="DE9" s="7">
        <v>0.84965999999999997</v>
      </c>
      <c r="DF9" s="7">
        <v>0.83894999999999997</v>
      </c>
      <c r="DG9" s="7">
        <v>0.83880999999999994</v>
      </c>
      <c r="DH9" s="7">
        <v>0.83738000000000001</v>
      </c>
      <c r="DI9" s="7">
        <v>0.85170999999999997</v>
      </c>
      <c r="DJ9" s="7">
        <v>0.85351999999999995</v>
      </c>
      <c r="DK9" s="7">
        <v>0.85734999999999995</v>
      </c>
      <c r="DL9" s="7">
        <v>0.87165000000000004</v>
      </c>
      <c r="DM9" s="7">
        <v>0.86516999999999999</v>
      </c>
      <c r="DN9" s="7">
        <v>0.85258999999999996</v>
      </c>
      <c r="DO9" s="7">
        <v>0.86399999999999999</v>
      </c>
      <c r="DP9" s="7">
        <v>0.85126000000000002</v>
      </c>
      <c r="DQ9" s="7">
        <v>0.85609000000000002</v>
      </c>
      <c r="DR9" s="7">
        <v>0.84769000000000005</v>
      </c>
      <c r="DS9" s="7">
        <v>0.86317999999999995</v>
      </c>
      <c r="DT9" s="7">
        <v>0.87760000000000005</v>
      </c>
      <c r="DU9" s="7">
        <v>0.86624999999999996</v>
      </c>
      <c r="DV9" s="7">
        <v>0.86565000000000003</v>
      </c>
      <c r="DW9" s="7">
        <v>0.84852000000000005</v>
      </c>
      <c r="DX9" s="7">
        <v>0.85553000000000001</v>
      </c>
      <c r="DY9" s="7">
        <v>0.84784000000000004</v>
      </c>
      <c r="DZ9" s="7">
        <v>0.83782999999999996</v>
      </c>
      <c r="EA9" s="7">
        <v>0.84133999999999998</v>
      </c>
      <c r="EB9" s="7">
        <v>0.84733000000000003</v>
      </c>
      <c r="EC9" s="7">
        <v>0.84762999999999999</v>
      </c>
      <c r="ED9" s="7">
        <v>0.85963000000000001</v>
      </c>
      <c r="EE9" s="7">
        <v>0.87309999999999999</v>
      </c>
      <c r="EF9" s="7">
        <v>0.87558000000000002</v>
      </c>
      <c r="EG9" s="7">
        <v>0.87817999999999996</v>
      </c>
      <c r="EH9" s="7">
        <v>0.87595000000000001</v>
      </c>
      <c r="EI9" s="7">
        <v>0.87990000000000002</v>
      </c>
      <c r="EJ9" s="7">
        <v>0.87709999999999999</v>
      </c>
      <c r="EK9" s="7">
        <v>0.88461000000000001</v>
      </c>
      <c r="EL9" s="7">
        <v>0.87539999999999996</v>
      </c>
      <c r="EM9" s="7">
        <v>0.89739000000000002</v>
      </c>
      <c r="EN9" s="7">
        <v>0.89464999999999995</v>
      </c>
      <c r="EO9" s="7">
        <v>0.90269999999999995</v>
      </c>
      <c r="EP9" s="7">
        <v>0.90849000000000002</v>
      </c>
      <c r="EQ9" s="7">
        <v>0.91347999999999996</v>
      </c>
      <c r="ER9" s="7">
        <v>0.92547999999999997</v>
      </c>
      <c r="ES9" s="7">
        <v>0.91586999999999996</v>
      </c>
      <c r="ET9" s="7">
        <v>0.91188999999999998</v>
      </c>
      <c r="EU9" s="7">
        <v>0.87888999999999995</v>
      </c>
      <c r="EV9" s="7">
        <v>0.88500000000000001</v>
      </c>
      <c r="EW9" s="7">
        <v>0.88200000000000001</v>
      </c>
      <c r="EX9" s="7">
        <v>0.89814000000000005</v>
      </c>
      <c r="EY9" s="7">
        <v>0.88976999999999995</v>
      </c>
      <c r="EZ9" s="7">
        <v>0.89312000000000002</v>
      </c>
      <c r="FA9" s="7">
        <v>0.88417999999999997</v>
      </c>
      <c r="FB9" s="7">
        <v>0.88771</v>
      </c>
      <c r="FC9" s="7">
        <v>0.88414000000000004</v>
      </c>
      <c r="FD9" s="7">
        <v>0.89227000000000001</v>
      </c>
      <c r="FE9" s="7">
        <v>0.89473000000000003</v>
      </c>
      <c r="FF9" s="7">
        <v>0.88290000000000002</v>
      </c>
      <c r="FG9" s="7">
        <v>0.87916000000000005</v>
      </c>
      <c r="FH9" s="7">
        <v>0.88207999999999998</v>
      </c>
      <c r="FI9" s="7">
        <v>0.88793</v>
      </c>
      <c r="FJ9" s="7">
        <v>0.88809000000000005</v>
      </c>
      <c r="FK9" s="7">
        <v>0.88644000000000001</v>
      </c>
      <c r="FL9" s="7">
        <v>0.88885999999999998</v>
      </c>
      <c r="FM9" s="7">
        <v>0.88175000000000003</v>
      </c>
      <c r="FN9" s="7">
        <v>0.87805</v>
      </c>
      <c r="FO9" s="7">
        <v>0.88224999999999998</v>
      </c>
      <c r="FP9" s="7">
        <v>0.88639000000000001</v>
      </c>
      <c r="FQ9" s="7">
        <v>0.88400999999999996</v>
      </c>
      <c r="FR9" s="7">
        <v>0.88046000000000002</v>
      </c>
      <c r="FS9" s="7">
        <v>0.89266000000000001</v>
      </c>
      <c r="FT9" s="7">
        <v>0.88858000000000004</v>
      </c>
      <c r="FU9" s="7">
        <v>0.88165000000000004</v>
      </c>
      <c r="FV9" s="7">
        <v>0.87419999999999998</v>
      </c>
      <c r="FW9" s="7">
        <v>0.87909000000000004</v>
      </c>
      <c r="FX9" s="7">
        <v>0.87143999999999999</v>
      </c>
      <c r="FY9" s="7">
        <v>0.86614999999999998</v>
      </c>
      <c r="FZ9" s="7">
        <v>0.87756000000000001</v>
      </c>
      <c r="GA9" s="7">
        <v>0.87988999999999995</v>
      </c>
      <c r="GB9" s="7">
        <v>0.88409000000000004</v>
      </c>
      <c r="GC9" s="7">
        <v>0.88183999999999996</v>
      </c>
      <c r="GD9" s="7">
        <v>0.87390999999999996</v>
      </c>
      <c r="GE9" s="7">
        <v>0.87551999999999996</v>
      </c>
      <c r="GF9" s="7">
        <v>0.87372000000000005</v>
      </c>
      <c r="GG9" s="7">
        <v>0.87773000000000001</v>
      </c>
      <c r="GH9" s="7">
        <v>0.874</v>
      </c>
      <c r="GI9" s="7">
        <v>0.87878000000000001</v>
      </c>
      <c r="GJ9" s="7">
        <v>0.88473000000000002</v>
      </c>
      <c r="GK9" s="7">
        <v>0.88429999999999997</v>
      </c>
      <c r="GL9" s="7">
        <v>0.88339000000000001</v>
      </c>
      <c r="GM9" s="7">
        <v>0.89251999999999998</v>
      </c>
      <c r="GN9" s="7">
        <v>0.88915999999999995</v>
      </c>
      <c r="GO9" s="7">
        <v>0.88980999999999999</v>
      </c>
      <c r="GP9" s="7">
        <v>0.89354999999999996</v>
      </c>
      <c r="GQ9" s="7">
        <v>0.89720999999999995</v>
      </c>
      <c r="GR9" s="7">
        <v>0.90447</v>
      </c>
    </row>
    <row r="10" spans="2:200" x14ac:dyDescent="0.2">
      <c r="H10" s="129"/>
      <c r="I10" s="135" t="s">
        <v>287</v>
      </c>
      <c r="J10" s="7">
        <v>1.2001999999999999</v>
      </c>
      <c r="K10" s="7">
        <v>1.1841999999999999</v>
      </c>
      <c r="L10" s="7">
        <v>1.1567000000000001</v>
      </c>
      <c r="M10" s="7">
        <v>1.1204000000000001</v>
      </c>
      <c r="N10" s="7">
        <v>1.1291</v>
      </c>
      <c r="O10" s="7">
        <v>1.1315999999999999</v>
      </c>
      <c r="P10" s="7">
        <v>1.1394</v>
      </c>
      <c r="Q10" s="7">
        <v>1.1381000000000001</v>
      </c>
      <c r="R10" s="7">
        <v>1.1195999999999999</v>
      </c>
      <c r="S10" s="7">
        <v>1.0844</v>
      </c>
      <c r="T10" s="7">
        <v>1.0496000000000001</v>
      </c>
      <c r="U10" s="7">
        <v>1.0821000000000001</v>
      </c>
      <c r="V10" s="7">
        <v>1.0889</v>
      </c>
      <c r="W10" s="7">
        <v>1.0969</v>
      </c>
      <c r="X10" s="7">
        <v>1.0604</v>
      </c>
      <c r="Y10" s="7">
        <v>1.0806</v>
      </c>
      <c r="Z10" s="7">
        <v>1.0872999999999999</v>
      </c>
      <c r="AA10" s="7">
        <v>1.1198999999999999</v>
      </c>
      <c r="AB10" s="7">
        <v>1.1198999999999999</v>
      </c>
      <c r="AC10" s="7">
        <v>1.1451</v>
      </c>
      <c r="AD10" s="7">
        <v>1.1012999999999999</v>
      </c>
      <c r="AE10" s="7">
        <v>1.0986</v>
      </c>
      <c r="AF10" s="7">
        <v>1.1113999999999999</v>
      </c>
      <c r="AG10" s="7">
        <v>1.1266</v>
      </c>
      <c r="AH10" s="7">
        <v>1.1352</v>
      </c>
      <c r="AI10" s="7">
        <v>1.1167</v>
      </c>
      <c r="AJ10" s="7">
        <v>1.1113999999999999</v>
      </c>
      <c r="AK10" s="7">
        <v>1.1162000000000001</v>
      </c>
      <c r="AL10" s="7">
        <v>1.083</v>
      </c>
      <c r="AM10" s="7">
        <v>1.0984</v>
      </c>
      <c r="AN10" s="7">
        <v>1.0984</v>
      </c>
      <c r="AO10" s="7">
        <v>1.0967</v>
      </c>
      <c r="AP10" s="7">
        <v>1.1109</v>
      </c>
      <c r="AQ10" s="7">
        <v>1.1386000000000001</v>
      </c>
      <c r="AR10" s="7">
        <v>1.1185</v>
      </c>
      <c r="AS10" s="7">
        <v>1.1149</v>
      </c>
      <c r="AT10" s="7">
        <v>1.1337999999999999</v>
      </c>
      <c r="AU10" s="7">
        <v>1.1297999999999999</v>
      </c>
      <c r="AV10" s="7">
        <v>1.1194999999999999</v>
      </c>
      <c r="AW10" s="7">
        <v>1.1215999999999999</v>
      </c>
      <c r="AX10" s="7">
        <v>1.1357999999999999</v>
      </c>
      <c r="AY10" s="7">
        <v>1.1348</v>
      </c>
      <c r="AZ10" s="7">
        <v>1.1017999999999999</v>
      </c>
      <c r="BA10" s="7">
        <v>1.1006</v>
      </c>
      <c r="BB10" s="7">
        <v>1.0741000000000001</v>
      </c>
      <c r="BC10" s="7">
        <v>1.0772999999999999</v>
      </c>
      <c r="BD10" s="7">
        <v>1.0646</v>
      </c>
      <c r="BE10" s="7">
        <v>1.0592999999999999</v>
      </c>
      <c r="BF10" s="7">
        <v>1.0881000000000001</v>
      </c>
      <c r="BG10" s="7">
        <v>1.0986</v>
      </c>
      <c r="BH10" s="7">
        <v>1.0868</v>
      </c>
      <c r="BI10" s="7">
        <v>1.0960000000000001</v>
      </c>
      <c r="BJ10" s="7">
        <v>1.0855999999999999</v>
      </c>
      <c r="BK10" s="7">
        <v>1.0922000000000001</v>
      </c>
      <c r="BL10" s="7">
        <v>1.0915999999999999</v>
      </c>
      <c r="BM10" s="7">
        <v>1.0796000000000001</v>
      </c>
      <c r="BN10" s="7">
        <v>1.0831</v>
      </c>
      <c r="BO10" s="7">
        <v>1.1157999999999999</v>
      </c>
      <c r="BP10" s="7">
        <v>1.1255999999999999</v>
      </c>
      <c r="BQ10" s="7">
        <v>1.113</v>
      </c>
      <c r="BR10" s="7">
        <v>1.0933999999999999</v>
      </c>
      <c r="BS10" s="7">
        <v>1.1005</v>
      </c>
      <c r="BT10" s="7">
        <v>1.1155999999999999</v>
      </c>
      <c r="BU10" s="7">
        <v>1.127</v>
      </c>
      <c r="BV10" s="7">
        <v>1.1167</v>
      </c>
      <c r="BW10" s="7">
        <v>1.1391</v>
      </c>
      <c r="BX10" s="7">
        <v>1.1398999999999999</v>
      </c>
      <c r="BY10" s="7">
        <v>1.1284000000000001</v>
      </c>
      <c r="BZ10" s="7">
        <v>1.1222000000000001</v>
      </c>
      <c r="CA10" s="7">
        <v>1.1451</v>
      </c>
      <c r="CB10" s="7">
        <v>1.1404000000000001</v>
      </c>
      <c r="CC10" s="7">
        <v>1.1309</v>
      </c>
      <c r="CD10" s="7">
        <v>1.1224000000000001</v>
      </c>
      <c r="CE10" s="7">
        <v>1.1114999999999999</v>
      </c>
      <c r="CF10" s="7">
        <v>1.1367</v>
      </c>
      <c r="CG10" s="7">
        <v>1.1251</v>
      </c>
      <c r="CH10" s="7">
        <v>1.1276999999999999</v>
      </c>
      <c r="CI10" s="7">
        <v>1.1116999999999999</v>
      </c>
      <c r="CJ10" s="7">
        <v>1.1135999999999999</v>
      </c>
      <c r="CK10" s="7">
        <v>1.1051</v>
      </c>
      <c r="CL10" s="7">
        <v>1.1034999999999999</v>
      </c>
      <c r="CM10" s="7">
        <v>1.0976999999999999</v>
      </c>
      <c r="CN10" s="7">
        <v>1.1173999999999999</v>
      </c>
      <c r="CO10" s="7">
        <v>1.1086</v>
      </c>
      <c r="CP10" s="7">
        <v>1.1162000000000001</v>
      </c>
      <c r="CQ10" s="7">
        <v>1.1325000000000001</v>
      </c>
      <c r="CR10" s="7">
        <v>1.1197999999999999</v>
      </c>
      <c r="CS10" s="7">
        <v>1.1155999999999999</v>
      </c>
      <c r="CT10" s="7">
        <v>1.1233</v>
      </c>
      <c r="CU10" s="7">
        <v>1.1154999999999999</v>
      </c>
      <c r="CV10" s="7">
        <v>1.1226</v>
      </c>
      <c r="CW10" s="7">
        <v>1.1234999999999999</v>
      </c>
      <c r="CX10" s="7">
        <v>1.1201000000000001</v>
      </c>
      <c r="CY10" s="7">
        <v>1.0972</v>
      </c>
      <c r="CZ10" s="7">
        <v>1.0884</v>
      </c>
      <c r="DA10" s="7">
        <v>1.0985</v>
      </c>
      <c r="DB10" s="7">
        <v>1.1141000000000001</v>
      </c>
      <c r="DC10" s="7">
        <v>1.0854999999999999</v>
      </c>
      <c r="DD10" s="7">
        <v>1.0588</v>
      </c>
      <c r="DE10" s="7">
        <v>1.0589</v>
      </c>
      <c r="DF10" s="7">
        <v>1.0664</v>
      </c>
      <c r="DG10" s="7">
        <v>1.0561</v>
      </c>
      <c r="DH10" s="7">
        <v>1.0450999999999999</v>
      </c>
      <c r="DI10" s="7">
        <v>1.0456000000000001</v>
      </c>
      <c r="DJ10" s="7">
        <v>1.0517000000000001</v>
      </c>
      <c r="DK10" s="7">
        <v>1.0531999999999999</v>
      </c>
      <c r="DL10" s="7">
        <v>1.0643</v>
      </c>
      <c r="DM10" s="7">
        <v>1.0703</v>
      </c>
      <c r="DN10" s="7">
        <v>1.0699000000000001</v>
      </c>
      <c r="DO10" s="7">
        <v>1.0783</v>
      </c>
      <c r="DP10" s="7">
        <v>1.0643</v>
      </c>
      <c r="DQ10" s="7">
        <v>1.0616000000000001</v>
      </c>
      <c r="DR10" s="7">
        <v>1.0563</v>
      </c>
      <c r="DS10" s="7">
        <v>1.0622</v>
      </c>
      <c r="DT10" s="7">
        <v>1.0672999999999999</v>
      </c>
      <c r="DU10" s="7">
        <v>1.0738000000000001</v>
      </c>
      <c r="DV10" s="7">
        <v>1.0798000000000001</v>
      </c>
      <c r="DW10" s="7">
        <v>1.0651999999999999</v>
      </c>
      <c r="DX10" s="7">
        <v>1.0590999999999999</v>
      </c>
      <c r="DY10" s="7">
        <v>1.0618000000000001</v>
      </c>
      <c r="DZ10" s="7">
        <v>1.0728</v>
      </c>
      <c r="EA10" s="7">
        <v>1.0894999999999999</v>
      </c>
      <c r="EB10" s="7">
        <v>1.0998000000000001</v>
      </c>
      <c r="EC10" s="7">
        <v>1.0931</v>
      </c>
      <c r="ED10" s="7">
        <v>1.1206</v>
      </c>
      <c r="EE10" s="7">
        <v>1.1183000000000001</v>
      </c>
      <c r="EF10" s="7">
        <v>1.1278999999999999</v>
      </c>
      <c r="EG10" s="7">
        <v>1.1194999999999999</v>
      </c>
      <c r="EH10" s="7">
        <v>1.1197999999999999</v>
      </c>
      <c r="EI10" s="7">
        <v>1.1194</v>
      </c>
      <c r="EJ10" s="7">
        <v>1.1426000000000001</v>
      </c>
      <c r="EK10" s="7">
        <v>1.1400999999999999</v>
      </c>
      <c r="EL10" s="7">
        <v>1.147</v>
      </c>
      <c r="EM10" s="7">
        <v>1.1662999999999999</v>
      </c>
      <c r="EN10" s="7">
        <v>1.1751</v>
      </c>
      <c r="EO10" s="7">
        <v>1.1773</v>
      </c>
      <c r="EP10" s="7">
        <v>1.1820999999999999</v>
      </c>
      <c r="EQ10" s="7">
        <v>1.1760999999999999</v>
      </c>
      <c r="ER10" s="7">
        <v>1.1923999999999999</v>
      </c>
      <c r="ES10" s="7">
        <v>1.1859999999999999</v>
      </c>
      <c r="ET10" s="7">
        <v>1.2036</v>
      </c>
      <c r="EU10" s="7">
        <v>1.1945000000000001</v>
      </c>
      <c r="EV10" s="7">
        <v>1.1951000000000001</v>
      </c>
      <c r="EW10" s="7">
        <v>1.1814</v>
      </c>
      <c r="EX10" s="7">
        <v>1.173</v>
      </c>
      <c r="EY10" s="7">
        <v>1.1819999999999999</v>
      </c>
      <c r="EZ10" s="7">
        <v>1.1783999999999999</v>
      </c>
      <c r="FA10" s="7">
        <v>1.1608000000000001</v>
      </c>
      <c r="FB10" s="7">
        <v>1.1608000000000001</v>
      </c>
      <c r="FC10" s="7">
        <v>1.1665000000000001</v>
      </c>
      <c r="FD10" s="7">
        <v>1.179</v>
      </c>
      <c r="FE10" s="7">
        <v>1.1933</v>
      </c>
      <c r="FF10" s="7">
        <v>1.1896</v>
      </c>
      <c r="FG10" s="7">
        <v>1.1773</v>
      </c>
      <c r="FH10" s="7">
        <v>1.1749000000000001</v>
      </c>
      <c r="FI10" s="7">
        <v>1.1861999999999999</v>
      </c>
      <c r="FJ10" s="7">
        <v>1.2004999999999999</v>
      </c>
      <c r="FK10" s="7">
        <v>1.2029000000000001</v>
      </c>
      <c r="FL10" s="7">
        <v>1.2202</v>
      </c>
      <c r="FM10" s="7">
        <v>1.2222</v>
      </c>
      <c r="FN10" s="7">
        <v>1.2426999999999999</v>
      </c>
      <c r="FO10" s="7">
        <v>1.2463</v>
      </c>
      <c r="FP10" s="7">
        <v>1.2252000000000001</v>
      </c>
      <c r="FQ10" s="7">
        <v>1.2405999999999999</v>
      </c>
      <c r="FR10" s="7">
        <v>1.2295</v>
      </c>
      <c r="FS10" s="7">
        <v>1.2317</v>
      </c>
      <c r="FT10" s="7">
        <v>1.2306999999999999</v>
      </c>
      <c r="FU10" s="7">
        <v>1.2290000000000001</v>
      </c>
      <c r="FV10" s="7">
        <v>1.2353000000000001</v>
      </c>
      <c r="FW10" s="7">
        <v>1.2323999999999999</v>
      </c>
      <c r="FX10" s="7">
        <v>1.2281</v>
      </c>
      <c r="FY10" s="7">
        <v>1.2331000000000001</v>
      </c>
      <c r="FZ10" s="7">
        <v>1.2288000000000001</v>
      </c>
      <c r="GA10" s="7">
        <v>1.2130000000000001</v>
      </c>
      <c r="GB10" s="7">
        <v>1.196</v>
      </c>
      <c r="GC10" s="7">
        <v>1.1942999999999999</v>
      </c>
      <c r="GD10" s="7">
        <v>1.1772</v>
      </c>
      <c r="GE10" s="7">
        <v>1.1651</v>
      </c>
      <c r="GF10" s="7">
        <v>1.1658999999999999</v>
      </c>
      <c r="GG10" s="7">
        <v>1.1769000000000001</v>
      </c>
      <c r="GH10" s="7">
        <v>1.161</v>
      </c>
      <c r="GI10" s="7">
        <v>1.1651</v>
      </c>
      <c r="GJ10" s="7">
        <v>1.1684000000000001</v>
      </c>
      <c r="GK10" s="7">
        <v>1.1746000000000001</v>
      </c>
      <c r="GL10" s="7">
        <v>1.1685000000000001</v>
      </c>
      <c r="GM10" s="7">
        <v>1.1724000000000001</v>
      </c>
      <c r="GN10" s="7">
        <v>1.1657</v>
      </c>
      <c r="GO10" s="7">
        <v>1.1568000000000001</v>
      </c>
      <c r="GP10" s="7">
        <v>1.1413</v>
      </c>
      <c r="GQ10" s="7">
        <v>1.1437999999999999</v>
      </c>
      <c r="GR10" s="7">
        <v>1.1621999999999999</v>
      </c>
    </row>
    <row r="11" spans="2:200" x14ac:dyDescent="0.2">
      <c r="H11" s="129"/>
      <c r="I11" s="135"/>
    </row>
    <row r="12" spans="2:200" x14ac:dyDescent="0.2">
      <c r="H12" s="129"/>
      <c r="I12" s="135"/>
    </row>
    <row r="13" spans="2:200" x14ac:dyDescent="0.2">
      <c r="H13" s="129"/>
    </row>
    <row r="14" spans="2:200" x14ac:dyDescent="0.2">
      <c r="H14" s="129"/>
    </row>
    <row r="15" spans="2:200" x14ac:dyDescent="0.2">
      <c r="H15" s="129"/>
      <c r="O15" s="136"/>
      <c r="P15" s="136"/>
      <c r="Q15" s="136"/>
      <c r="R15" s="136"/>
      <c r="S15" s="136"/>
      <c r="T15" s="136"/>
      <c r="U15" s="136"/>
      <c r="V15" s="136"/>
    </row>
    <row r="16" spans="2:200" x14ac:dyDescent="0.2">
      <c r="H16" s="129"/>
      <c r="I16" s="11" t="s">
        <v>208</v>
      </c>
      <c r="O16" s="136"/>
      <c r="P16" s="136"/>
      <c r="Q16" s="136"/>
      <c r="R16" s="136"/>
      <c r="S16" s="136"/>
      <c r="T16" s="136"/>
      <c r="U16" s="136"/>
      <c r="V16" s="136"/>
    </row>
    <row r="17" spans="2:22" x14ac:dyDescent="0.2">
      <c r="H17" s="129"/>
      <c r="O17" s="136"/>
      <c r="P17" s="136"/>
      <c r="Q17" s="136"/>
      <c r="R17" s="136"/>
      <c r="S17" s="136"/>
      <c r="T17" s="136"/>
      <c r="U17" s="136"/>
      <c r="V17" s="136"/>
    </row>
    <row r="18" spans="2:22" x14ac:dyDescent="0.2">
      <c r="H18" s="129"/>
      <c r="I18" s="20" t="s">
        <v>152</v>
      </c>
      <c r="J18" s="20" t="s">
        <v>288</v>
      </c>
      <c r="K18" s="20" t="s">
        <v>918</v>
      </c>
      <c r="L18" s="20" t="s">
        <v>919</v>
      </c>
      <c r="M18" s="20" t="s">
        <v>920</v>
      </c>
      <c r="N18" s="20" t="s">
        <v>921</v>
      </c>
      <c r="O18" s="20" t="s">
        <v>922</v>
      </c>
      <c r="P18" s="20" t="s">
        <v>923</v>
      </c>
      <c r="Q18" s="20" t="s">
        <v>924</v>
      </c>
      <c r="R18" s="20"/>
      <c r="S18" s="130"/>
      <c r="T18" s="130"/>
      <c r="U18" s="130"/>
      <c r="V18" s="136"/>
    </row>
    <row r="19" spans="2:22" x14ac:dyDescent="0.2">
      <c r="H19" s="129"/>
      <c r="I19" s="137">
        <v>40207</v>
      </c>
      <c r="J19" s="6">
        <v>71.459999999999994</v>
      </c>
      <c r="O19" s="136"/>
      <c r="P19" s="136"/>
      <c r="Q19" s="136"/>
      <c r="R19" s="136"/>
      <c r="S19" s="136"/>
      <c r="T19" s="136"/>
      <c r="U19" s="136"/>
      <c r="V19" s="136"/>
    </row>
    <row r="20" spans="2:22" x14ac:dyDescent="0.2">
      <c r="H20" s="129"/>
      <c r="I20" s="137">
        <v>40235</v>
      </c>
      <c r="J20" s="6">
        <v>77.59</v>
      </c>
      <c r="O20" s="136"/>
      <c r="P20" s="136"/>
      <c r="Q20" s="136"/>
      <c r="R20" s="136"/>
      <c r="S20" s="136"/>
      <c r="T20" s="136"/>
      <c r="U20" s="136"/>
      <c r="V20" s="136"/>
    </row>
    <row r="21" spans="2:22" x14ac:dyDescent="0.2">
      <c r="B21" s="11" t="s">
        <v>172</v>
      </c>
      <c r="H21" s="129"/>
      <c r="I21" s="137">
        <v>40268</v>
      </c>
      <c r="J21" s="6">
        <v>82.7</v>
      </c>
      <c r="O21" s="136"/>
      <c r="P21" s="136"/>
      <c r="Q21" s="136"/>
      <c r="R21" s="136"/>
      <c r="S21" s="136"/>
      <c r="T21" s="136"/>
      <c r="U21" s="136"/>
      <c r="V21" s="136"/>
    </row>
    <row r="22" spans="2:22" x14ac:dyDescent="0.2">
      <c r="H22" s="129"/>
      <c r="I22" s="137">
        <v>40298</v>
      </c>
      <c r="J22" s="6">
        <v>87.44</v>
      </c>
      <c r="O22" s="136"/>
      <c r="P22" s="136"/>
      <c r="Q22" s="136"/>
      <c r="R22" s="136"/>
      <c r="S22" s="136"/>
      <c r="T22" s="136"/>
      <c r="U22" s="136"/>
      <c r="V22" s="136"/>
    </row>
    <row r="23" spans="2:22" x14ac:dyDescent="0.2">
      <c r="B23" s="127" t="s">
        <v>1439</v>
      </c>
      <c r="H23" s="129"/>
      <c r="I23" s="137">
        <v>40329</v>
      </c>
      <c r="J23" s="6">
        <v>74.650000000000006</v>
      </c>
      <c r="O23" s="136"/>
      <c r="P23" s="136"/>
      <c r="Q23" s="136"/>
      <c r="R23" s="136"/>
      <c r="S23" s="136"/>
      <c r="T23" s="136"/>
      <c r="U23" s="136"/>
      <c r="V23" s="136"/>
    </row>
    <row r="24" spans="2:22" x14ac:dyDescent="0.2">
      <c r="H24" s="129"/>
      <c r="I24" s="137">
        <v>40359</v>
      </c>
      <c r="J24" s="6">
        <v>75.010000000000005</v>
      </c>
      <c r="O24" s="136"/>
      <c r="P24" s="136"/>
      <c r="Q24" s="136"/>
      <c r="R24" s="136"/>
      <c r="S24" s="136"/>
      <c r="T24" s="136"/>
      <c r="U24" s="136"/>
      <c r="V24" s="136"/>
    </row>
    <row r="25" spans="2:22" x14ac:dyDescent="0.2">
      <c r="H25" s="129"/>
      <c r="I25" s="137">
        <v>40389</v>
      </c>
      <c r="J25" s="6">
        <v>78.180000000000007</v>
      </c>
      <c r="O25" s="136"/>
      <c r="P25" s="136"/>
      <c r="Q25" s="136"/>
      <c r="R25" s="136"/>
      <c r="S25" s="136"/>
      <c r="T25" s="136"/>
      <c r="U25" s="136"/>
      <c r="V25" s="136"/>
    </row>
    <row r="26" spans="2:22" x14ac:dyDescent="0.2">
      <c r="H26" s="129"/>
      <c r="I26" s="137">
        <v>40421</v>
      </c>
      <c r="J26" s="6">
        <v>74.64</v>
      </c>
      <c r="O26" s="136"/>
      <c r="P26" s="136"/>
      <c r="Q26" s="136"/>
      <c r="R26" s="136"/>
      <c r="S26" s="136"/>
      <c r="T26" s="136"/>
      <c r="U26" s="136"/>
      <c r="V26" s="136"/>
    </row>
    <row r="27" spans="2:22" x14ac:dyDescent="0.2">
      <c r="H27" s="129"/>
      <c r="I27" s="137">
        <v>40451</v>
      </c>
      <c r="J27" s="6">
        <v>82.31</v>
      </c>
    </row>
    <row r="28" spans="2:22" x14ac:dyDescent="0.2">
      <c r="H28" s="129"/>
      <c r="I28" s="137">
        <v>40480</v>
      </c>
      <c r="J28" s="6">
        <v>83.15</v>
      </c>
    </row>
    <row r="29" spans="2:22" x14ac:dyDescent="0.2">
      <c r="H29" s="129"/>
      <c r="I29" s="137">
        <v>40512</v>
      </c>
      <c r="J29" s="6">
        <v>85.92</v>
      </c>
    </row>
    <row r="30" spans="2:22" x14ac:dyDescent="0.2">
      <c r="H30" s="129"/>
      <c r="I30" s="137">
        <v>40543</v>
      </c>
      <c r="J30" s="6">
        <v>94.75</v>
      </c>
    </row>
    <row r="31" spans="2:22" x14ac:dyDescent="0.2">
      <c r="H31" s="129"/>
      <c r="I31" s="137">
        <v>40574</v>
      </c>
      <c r="J31" s="6">
        <v>101.01</v>
      </c>
    </row>
    <row r="32" spans="2:22" x14ac:dyDescent="0.2">
      <c r="H32" s="129"/>
      <c r="I32" s="137">
        <v>40602</v>
      </c>
      <c r="J32" s="6">
        <v>111.8</v>
      </c>
    </row>
    <row r="33" spans="8:10" x14ac:dyDescent="0.2">
      <c r="H33" s="129"/>
      <c r="I33" s="137">
        <v>40633</v>
      </c>
      <c r="J33" s="6">
        <v>117.36</v>
      </c>
    </row>
    <row r="34" spans="8:10" x14ac:dyDescent="0.2">
      <c r="H34" s="129"/>
      <c r="I34" s="137">
        <v>40662</v>
      </c>
      <c r="J34" s="6">
        <v>125.89</v>
      </c>
    </row>
    <row r="35" spans="8:10" x14ac:dyDescent="0.2">
      <c r="H35" s="129"/>
      <c r="I35" s="137">
        <v>40694</v>
      </c>
      <c r="J35" s="6">
        <v>116.73</v>
      </c>
    </row>
    <row r="36" spans="8:10" x14ac:dyDescent="0.2">
      <c r="H36" s="129"/>
      <c r="I36" s="137">
        <v>40724</v>
      </c>
      <c r="J36" s="6">
        <v>112.48</v>
      </c>
    </row>
    <row r="37" spans="8:10" x14ac:dyDescent="0.2">
      <c r="H37" s="129"/>
      <c r="I37" s="137">
        <v>40753</v>
      </c>
      <c r="J37" s="6">
        <v>116.74</v>
      </c>
    </row>
    <row r="38" spans="8:10" x14ac:dyDescent="0.2">
      <c r="H38" s="129"/>
      <c r="I38" s="137">
        <v>40786</v>
      </c>
      <c r="J38" s="6">
        <v>114.85</v>
      </c>
    </row>
    <row r="39" spans="8:10" x14ac:dyDescent="0.2">
      <c r="H39" s="129"/>
      <c r="I39" s="137">
        <v>40816</v>
      </c>
      <c r="J39" s="6">
        <v>102.76</v>
      </c>
    </row>
    <row r="40" spans="8:10" x14ac:dyDescent="0.2">
      <c r="H40" s="129"/>
      <c r="I40" s="137">
        <v>40847</v>
      </c>
      <c r="J40" s="6">
        <v>109.56</v>
      </c>
    </row>
    <row r="41" spans="8:10" x14ac:dyDescent="0.2">
      <c r="H41" s="129"/>
      <c r="I41" s="137">
        <v>40877</v>
      </c>
      <c r="J41" s="6">
        <v>110.52</v>
      </c>
    </row>
    <row r="42" spans="8:10" x14ac:dyDescent="0.2">
      <c r="H42" s="129"/>
      <c r="I42" s="137">
        <v>40907</v>
      </c>
      <c r="J42" s="6">
        <v>107.38</v>
      </c>
    </row>
    <row r="43" spans="8:10" x14ac:dyDescent="0.2">
      <c r="H43" s="129"/>
      <c r="I43" s="137">
        <v>40939</v>
      </c>
      <c r="J43" s="6">
        <v>110.98</v>
      </c>
    </row>
    <row r="44" spans="8:10" x14ac:dyDescent="0.2">
      <c r="H44" s="129"/>
      <c r="I44" s="137">
        <v>40968</v>
      </c>
      <c r="J44" s="6">
        <v>122.66</v>
      </c>
    </row>
    <row r="45" spans="8:10" x14ac:dyDescent="0.2">
      <c r="H45" s="129"/>
      <c r="I45" s="137">
        <v>40998</v>
      </c>
      <c r="J45" s="6">
        <v>122.88</v>
      </c>
    </row>
    <row r="46" spans="8:10" x14ac:dyDescent="0.2">
      <c r="H46" s="129"/>
      <c r="I46" s="137">
        <v>41029</v>
      </c>
      <c r="J46" s="6">
        <v>119.47</v>
      </c>
    </row>
    <row r="47" spans="8:10" x14ac:dyDescent="0.2">
      <c r="H47" s="129"/>
      <c r="I47" s="137">
        <v>41060</v>
      </c>
      <c r="J47" s="6">
        <v>101.87</v>
      </c>
    </row>
    <row r="48" spans="8:10" x14ac:dyDescent="0.2">
      <c r="H48" s="129"/>
      <c r="I48" s="137">
        <v>41089</v>
      </c>
      <c r="J48" s="6">
        <v>97.8</v>
      </c>
    </row>
    <row r="49" spans="8:10" x14ac:dyDescent="0.2">
      <c r="H49" s="129"/>
      <c r="I49" s="137">
        <v>41121</v>
      </c>
      <c r="J49" s="6">
        <v>104.92</v>
      </c>
    </row>
    <row r="50" spans="8:10" x14ac:dyDescent="0.2">
      <c r="H50" s="129"/>
      <c r="I50" s="137">
        <v>41152</v>
      </c>
      <c r="J50" s="6">
        <v>114.57</v>
      </c>
    </row>
    <row r="51" spans="8:10" x14ac:dyDescent="0.2">
      <c r="H51" s="129"/>
      <c r="I51" s="137">
        <v>41180</v>
      </c>
      <c r="J51" s="6">
        <v>112.39</v>
      </c>
    </row>
    <row r="52" spans="8:10" x14ac:dyDescent="0.2">
      <c r="H52" s="129"/>
      <c r="I52" s="137">
        <v>41213</v>
      </c>
      <c r="J52" s="6">
        <v>108.7</v>
      </c>
    </row>
    <row r="53" spans="8:10" x14ac:dyDescent="0.2">
      <c r="H53" s="129"/>
      <c r="I53" s="137">
        <v>41243</v>
      </c>
      <c r="J53" s="6">
        <v>111.23</v>
      </c>
    </row>
    <row r="54" spans="8:10" x14ac:dyDescent="0.2">
      <c r="H54" s="129"/>
      <c r="I54" s="137">
        <v>41274</v>
      </c>
      <c r="J54" s="6">
        <v>111.11</v>
      </c>
    </row>
    <row r="55" spans="8:10" x14ac:dyDescent="0.2">
      <c r="H55" s="129"/>
      <c r="I55" s="137">
        <v>41305</v>
      </c>
      <c r="J55" s="6">
        <v>115.55</v>
      </c>
    </row>
    <row r="56" spans="8:10" x14ac:dyDescent="0.2">
      <c r="H56" s="129"/>
      <c r="I56" s="137">
        <v>41333</v>
      </c>
      <c r="J56" s="6">
        <v>111.38</v>
      </c>
    </row>
    <row r="57" spans="8:10" x14ac:dyDescent="0.2">
      <c r="H57" s="129"/>
      <c r="I57" s="137">
        <v>41362</v>
      </c>
      <c r="J57" s="6">
        <v>110.02</v>
      </c>
    </row>
    <row r="58" spans="8:10" x14ac:dyDescent="0.2">
      <c r="H58" s="129"/>
      <c r="I58" s="137">
        <v>41394</v>
      </c>
      <c r="J58" s="6">
        <v>102.37</v>
      </c>
    </row>
    <row r="59" spans="8:10" x14ac:dyDescent="0.2">
      <c r="H59" s="129"/>
      <c r="I59" s="137">
        <v>41425</v>
      </c>
      <c r="J59" s="6">
        <v>100.39</v>
      </c>
    </row>
    <row r="60" spans="8:10" x14ac:dyDescent="0.2">
      <c r="H60" s="129"/>
      <c r="I60" s="137">
        <v>41453</v>
      </c>
      <c r="J60" s="6">
        <v>102.16</v>
      </c>
    </row>
    <row r="61" spans="8:10" x14ac:dyDescent="0.2">
      <c r="H61" s="129"/>
      <c r="I61" s="137">
        <v>41486</v>
      </c>
      <c r="J61" s="6">
        <v>107.7</v>
      </c>
    </row>
    <row r="62" spans="8:10" x14ac:dyDescent="0.2">
      <c r="H62" s="129"/>
      <c r="I62" s="137">
        <v>41516</v>
      </c>
      <c r="J62" s="6">
        <v>114.01</v>
      </c>
    </row>
    <row r="63" spans="8:10" x14ac:dyDescent="0.2">
      <c r="H63" s="129"/>
      <c r="I63" s="137">
        <v>41547</v>
      </c>
      <c r="J63" s="6">
        <v>108.37</v>
      </c>
    </row>
    <row r="64" spans="8:10" x14ac:dyDescent="0.2">
      <c r="H64" s="129"/>
      <c r="I64" s="137">
        <v>41578</v>
      </c>
      <c r="J64" s="6">
        <v>108.84</v>
      </c>
    </row>
    <row r="65" spans="8:10" x14ac:dyDescent="0.2">
      <c r="H65" s="129"/>
      <c r="I65" s="137">
        <v>41607</v>
      </c>
      <c r="J65" s="6">
        <v>109.69</v>
      </c>
    </row>
    <row r="66" spans="8:10" x14ac:dyDescent="0.2">
      <c r="H66" s="129"/>
      <c r="I66" s="137">
        <v>41639</v>
      </c>
      <c r="J66" s="6">
        <v>110.8</v>
      </c>
    </row>
    <row r="67" spans="8:10" x14ac:dyDescent="0.2">
      <c r="H67" s="129"/>
      <c r="I67" s="137">
        <v>41670</v>
      </c>
      <c r="J67" s="6">
        <v>106.4</v>
      </c>
    </row>
    <row r="68" spans="8:10" x14ac:dyDescent="0.2">
      <c r="H68" s="129"/>
      <c r="I68" s="137">
        <v>41698</v>
      </c>
      <c r="J68" s="6">
        <v>109.07</v>
      </c>
    </row>
    <row r="69" spans="8:10" x14ac:dyDescent="0.2">
      <c r="H69" s="129"/>
      <c r="I69" s="137">
        <v>41729</v>
      </c>
      <c r="J69" s="6">
        <v>107.76</v>
      </c>
    </row>
    <row r="70" spans="8:10" x14ac:dyDescent="0.2">
      <c r="H70" s="129"/>
      <c r="I70" s="137">
        <v>41759</v>
      </c>
      <c r="J70" s="6">
        <v>108.07</v>
      </c>
    </row>
    <row r="71" spans="8:10" x14ac:dyDescent="0.2">
      <c r="H71" s="129"/>
      <c r="I71" s="137">
        <v>41789</v>
      </c>
      <c r="J71" s="6">
        <v>109.41</v>
      </c>
    </row>
    <row r="72" spans="8:10" x14ac:dyDescent="0.2">
      <c r="H72" s="129"/>
      <c r="I72" s="137">
        <v>41820</v>
      </c>
      <c r="J72" s="6">
        <v>112.36</v>
      </c>
    </row>
    <row r="73" spans="8:10" x14ac:dyDescent="0.2">
      <c r="H73" s="129"/>
      <c r="I73" s="137">
        <v>41851</v>
      </c>
      <c r="J73" s="6">
        <v>106.02</v>
      </c>
    </row>
    <row r="74" spans="8:10" x14ac:dyDescent="0.2">
      <c r="H74" s="129"/>
      <c r="I74" s="137">
        <v>41880</v>
      </c>
      <c r="J74" s="6">
        <v>103.19</v>
      </c>
    </row>
    <row r="75" spans="8:10" x14ac:dyDescent="0.2">
      <c r="H75" s="129"/>
      <c r="I75" s="137">
        <v>41912</v>
      </c>
      <c r="J75" s="6">
        <v>94.67</v>
      </c>
    </row>
    <row r="76" spans="8:10" x14ac:dyDescent="0.2">
      <c r="H76" s="129"/>
      <c r="I76" s="137">
        <v>41943</v>
      </c>
      <c r="J76" s="6">
        <v>85.86</v>
      </c>
    </row>
    <row r="77" spans="8:10" x14ac:dyDescent="0.2">
      <c r="H77" s="129"/>
      <c r="I77" s="137">
        <v>41971</v>
      </c>
      <c r="J77" s="6">
        <v>70.150000000000006</v>
      </c>
    </row>
    <row r="78" spans="8:10" x14ac:dyDescent="0.2">
      <c r="H78" s="129"/>
      <c r="I78" s="137">
        <v>42004</v>
      </c>
      <c r="J78" s="6">
        <v>57.33</v>
      </c>
    </row>
    <row r="79" spans="8:10" x14ac:dyDescent="0.2">
      <c r="H79" s="129"/>
      <c r="I79" s="137">
        <v>42034</v>
      </c>
      <c r="J79" s="6">
        <v>52.99</v>
      </c>
    </row>
    <row r="80" spans="8:10" x14ac:dyDescent="0.2">
      <c r="H80" s="129"/>
      <c r="I80" s="137">
        <v>42062</v>
      </c>
      <c r="J80" s="6">
        <v>62.58</v>
      </c>
    </row>
    <row r="81" spans="8:10" x14ac:dyDescent="0.2">
      <c r="H81" s="129"/>
      <c r="I81" s="137">
        <v>42094</v>
      </c>
      <c r="J81" s="6">
        <v>55.11</v>
      </c>
    </row>
    <row r="82" spans="8:10" x14ac:dyDescent="0.2">
      <c r="H82" s="129"/>
      <c r="I82" s="137">
        <v>42124</v>
      </c>
      <c r="J82" s="6">
        <v>66.78</v>
      </c>
    </row>
    <row r="83" spans="8:10" x14ac:dyDescent="0.2">
      <c r="H83" s="129"/>
      <c r="I83" s="137">
        <v>42153</v>
      </c>
      <c r="J83" s="6">
        <v>65.56</v>
      </c>
    </row>
    <row r="84" spans="8:10" x14ac:dyDescent="0.2">
      <c r="H84" s="129"/>
      <c r="I84" s="137">
        <v>42185</v>
      </c>
      <c r="J84" s="6">
        <v>63.59</v>
      </c>
    </row>
    <row r="85" spans="8:10" x14ac:dyDescent="0.2">
      <c r="H85" s="129"/>
      <c r="I85" s="137">
        <v>42216</v>
      </c>
      <c r="J85" s="6">
        <v>52.21</v>
      </c>
    </row>
    <row r="86" spans="8:10" x14ac:dyDescent="0.2">
      <c r="H86" s="129"/>
      <c r="I86" s="137">
        <v>42247</v>
      </c>
      <c r="J86" s="6">
        <v>54.15</v>
      </c>
    </row>
    <row r="87" spans="8:10" x14ac:dyDescent="0.2">
      <c r="H87" s="129"/>
      <c r="I87" s="137">
        <v>42277</v>
      </c>
      <c r="J87" s="6">
        <v>48.37</v>
      </c>
    </row>
    <row r="88" spans="8:10" x14ac:dyDescent="0.2">
      <c r="H88" s="129"/>
      <c r="I88" s="137">
        <v>42307</v>
      </c>
      <c r="J88" s="6">
        <v>49.56</v>
      </c>
    </row>
    <row r="89" spans="8:10" x14ac:dyDescent="0.2">
      <c r="H89" s="129"/>
      <c r="I89" s="137">
        <v>42338</v>
      </c>
      <c r="J89" s="6">
        <v>44.61</v>
      </c>
    </row>
    <row r="90" spans="8:10" x14ac:dyDescent="0.2">
      <c r="H90" s="129"/>
      <c r="I90" s="137">
        <v>42369</v>
      </c>
      <c r="J90" s="6">
        <v>37.28</v>
      </c>
    </row>
    <row r="91" spans="8:10" x14ac:dyDescent="0.2">
      <c r="H91" s="129"/>
      <c r="I91" s="137">
        <v>42398</v>
      </c>
      <c r="J91" s="6">
        <v>34.74</v>
      </c>
    </row>
    <row r="92" spans="8:10" x14ac:dyDescent="0.2">
      <c r="H92" s="129"/>
      <c r="I92" s="137">
        <v>42429</v>
      </c>
      <c r="J92" s="6">
        <v>35.97</v>
      </c>
    </row>
    <row r="93" spans="8:10" x14ac:dyDescent="0.2">
      <c r="H93" s="129"/>
      <c r="I93" s="137">
        <v>42460</v>
      </c>
      <c r="J93" s="6">
        <v>39.6</v>
      </c>
    </row>
    <row r="94" spans="8:10" x14ac:dyDescent="0.2">
      <c r="H94" s="129"/>
      <c r="I94" s="137">
        <v>42489</v>
      </c>
      <c r="J94" s="6">
        <v>48.13</v>
      </c>
    </row>
    <row r="95" spans="8:10" x14ac:dyDescent="0.2">
      <c r="H95" s="129"/>
      <c r="I95" s="137">
        <v>42521</v>
      </c>
      <c r="J95" s="6">
        <v>49.69</v>
      </c>
    </row>
    <row r="96" spans="8:10" x14ac:dyDescent="0.2">
      <c r="H96" s="129"/>
      <c r="I96" s="137">
        <v>42551</v>
      </c>
      <c r="J96" s="6">
        <v>49.68</v>
      </c>
    </row>
    <row r="97" spans="8:14" x14ac:dyDescent="0.2">
      <c r="H97" s="129"/>
      <c r="I97" s="137">
        <v>42580</v>
      </c>
      <c r="J97" s="6">
        <v>42.46</v>
      </c>
    </row>
    <row r="98" spans="8:14" x14ac:dyDescent="0.2">
      <c r="H98" s="129"/>
      <c r="I98" s="137">
        <v>42613</v>
      </c>
      <c r="J98" s="6">
        <v>47.04</v>
      </c>
    </row>
    <row r="99" spans="8:14" x14ac:dyDescent="0.2">
      <c r="H99" s="129"/>
      <c r="I99" s="137">
        <v>42643</v>
      </c>
      <c r="J99" s="6">
        <v>49.06</v>
      </c>
    </row>
    <row r="100" spans="8:14" x14ac:dyDescent="0.2">
      <c r="H100" s="129"/>
      <c r="I100" s="137">
        <v>42674</v>
      </c>
      <c r="J100" s="6">
        <v>48.3</v>
      </c>
      <c r="K100" s="6">
        <v>47.04</v>
      </c>
    </row>
    <row r="101" spans="8:14" x14ac:dyDescent="0.2">
      <c r="H101" s="129"/>
      <c r="I101" s="137">
        <v>42704</v>
      </c>
      <c r="J101" s="6">
        <v>50.47</v>
      </c>
      <c r="K101" s="6">
        <v>46.89</v>
      </c>
    </row>
    <row r="102" spans="8:14" x14ac:dyDescent="0.2">
      <c r="H102" s="129"/>
      <c r="I102" s="137">
        <v>42734</v>
      </c>
      <c r="J102" s="6">
        <v>56.82</v>
      </c>
      <c r="K102" s="6">
        <v>47.27</v>
      </c>
    </row>
    <row r="103" spans="8:14" x14ac:dyDescent="0.2">
      <c r="H103" s="129"/>
      <c r="I103" s="137">
        <v>42766</v>
      </c>
      <c r="J103" s="6">
        <v>55.7</v>
      </c>
      <c r="K103" s="6">
        <v>47.68</v>
      </c>
    </row>
    <row r="104" spans="8:14" x14ac:dyDescent="0.2">
      <c r="H104" s="129"/>
      <c r="I104" s="137">
        <v>42794</v>
      </c>
      <c r="J104" s="6">
        <v>55.59</v>
      </c>
      <c r="K104" s="6">
        <v>48.09</v>
      </c>
      <c r="L104" s="6">
        <v>53.84</v>
      </c>
    </row>
    <row r="105" spans="8:14" x14ac:dyDescent="0.2">
      <c r="H105" s="129"/>
      <c r="I105" s="137">
        <v>42825</v>
      </c>
      <c r="J105" s="6">
        <v>52.83</v>
      </c>
      <c r="K105" s="6">
        <v>48.51</v>
      </c>
      <c r="L105" s="6">
        <v>54.43</v>
      </c>
    </row>
    <row r="106" spans="8:14" x14ac:dyDescent="0.2">
      <c r="H106" s="129"/>
      <c r="I106" s="137">
        <v>42853</v>
      </c>
      <c r="J106" s="6">
        <v>51.73</v>
      </c>
      <c r="K106" s="6">
        <v>48.88</v>
      </c>
      <c r="L106" s="6">
        <v>54.95</v>
      </c>
    </row>
    <row r="107" spans="8:14" x14ac:dyDescent="0.2">
      <c r="H107" s="129"/>
      <c r="I107" s="137">
        <v>42886</v>
      </c>
      <c r="J107" s="6">
        <v>50.31</v>
      </c>
      <c r="K107" s="6">
        <v>49.22</v>
      </c>
      <c r="L107" s="6">
        <v>55.38</v>
      </c>
      <c r="M107" s="6">
        <v>51.21</v>
      </c>
    </row>
    <row r="108" spans="8:14" x14ac:dyDescent="0.2">
      <c r="H108" s="129"/>
      <c r="I108" s="137">
        <v>42916</v>
      </c>
      <c r="J108" s="6">
        <v>47.92</v>
      </c>
      <c r="K108" s="6">
        <v>49.52</v>
      </c>
      <c r="L108" s="6">
        <v>55.69</v>
      </c>
      <c r="M108" s="6">
        <v>50.74</v>
      </c>
    </row>
    <row r="109" spans="8:14" x14ac:dyDescent="0.2">
      <c r="H109" s="129"/>
      <c r="I109" s="137">
        <v>42947</v>
      </c>
      <c r="J109" s="6">
        <v>52.65</v>
      </c>
      <c r="K109" s="6">
        <v>49.81</v>
      </c>
      <c r="L109" s="6">
        <v>55.89</v>
      </c>
      <c r="M109" s="6">
        <v>51.17</v>
      </c>
    </row>
    <row r="110" spans="8:14" x14ac:dyDescent="0.2">
      <c r="H110" s="129"/>
      <c r="I110" s="137">
        <v>42978</v>
      </c>
      <c r="J110" s="132">
        <v>52.38</v>
      </c>
      <c r="K110" s="6">
        <v>50.07</v>
      </c>
      <c r="L110" s="6">
        <v>55.99</v>
      </c>
      <c r="M110" s="6">
        <v>51.47</v>
      </c>
    </row>
    <row r="111" spans="8:14" x14ac:dyDescent="0.2">
      <c r="H111" s="129"/>
      <c r="I111" s="137">
        <v>43007</v>
      </c>
      <c r="J111" s="132">
        <v>57.54</v>
      </c>
      <c r="K111" s="6">
        <v>50.3</v>
      </c>
      <c r="L111" s="6">
        <v>56.04</v>
      </c>
      <c r="M111" s="6">
        <v>51.69</v>
      </c>
    </row>
    <row r="112" spans="8:14" x14ac:dyDescent="0.2">
      <c r="H112" s="129"/>
      <c r="I112" s="137">
        <v>43039</v>
      </c>
      <c r="J112" s="6">
        <v>61.37</v>
      </c>
      <c r="K112" s="6">
        <v>50.53</v>
      </c>
      <c r="L112" s="6">
        <v>56.06</v>
      </c>
      <c r="M112" s="6">
        <v>51.86</v>
      </c>
      <c r="N112" s="6">
        <v>50.17</v>
      </c>
    </row>
    <row r="113" spans="8:17" x14ac:dyDescent="0.2">
      <c r="H113" s="129"/>
      <c r="I113" s="137">
        <v>43069</v>
      </c>
      <c r="J113" s="6">
        <v>63.57</v>
      </c>
      <c r="K113" s="6">
        <v>50.74</v>
      </c>
      <c r="L113" s="6">
        <v>56.06</v>
      </c>
      <c r="M113" s="6">
        <v>52.01</v>
      </c>
      <c r="N113" s="6">
        <v>50</v>
      </c>
    </row>
    <row r="114" spans="8:17" x14ac:dyDescent="0.2">
      <c r="H114" s="129"/>
      <c r="I114" s="137">
        <v>43098</v>
      </c>
      <c r="J114" s="6">
        <v>66.87</v>
      </c>
      <c r="K114" s="6">
        <v>50.93</v>
      </c>
      <c r="L114" s="6">
        <v>56.05</v>
      </c>
      <c r="M114" s="6">
        <v>52.12</v>
      </c>
      <c r="N114" s="6">
        <v>49.97</v>
      </c>
      <c r="O114" s="6">
        <v>66.87</v>
      </c>
    </row>
    <row r="115" spans="8:17" x14ac:dyDescent="0.2">
      <c r="H115" s="129"/>
      <c r="I115" s="137">
        <v>43131</v>
      </c>
      <c r="J115" s="6">
        <v>69.05</v>
      </c>
      <c r="K115" s="6">
        <v>51.15</v>
      </c>
      <c r="L115" s="6">
        <v>56.03</v>
      </c>
      <c r="M115" s="6">
        <v>52.2</v>
      </c>
      <c r="N115" s="6">
        <v>50.02</v>
      </c>
      <c r="O115" s="6">
        <v>68.36</v>
      </c>
    </row>
    <row r="116" spans="8:17" x14ac:dyDescent="0.2">
      <c r="H116" s="129"/>
      <c r="I116" s="137">
        <v>43159</v>
      </c>
      <c r="J116" s="6">
        <v>65.78</v>
      </c>
      <c r="K116" s="6">
        <v>51.38</v>
      </c>
      <c r="L116" s="6">
        <v>56.03</v>
      </c>
      <c r="M116" s="6">
        <v>52.21</v>
      </c>
      <c r="N116" s="6">
        <v>50.1</v>
      </c>
      <c r="O116" s="6">
        <v>67.98</v>
      </c>
    </row>
    <row r="117" spans="8:17" x14ac:dyDescent="0.2">
      <c r="H117" s="129"/>
      <c r="I117" s="137">
        <v>43189</v>
      </c>
      <c r="J117" s="6">
        <v>70.27</v>
      </c>
      <c r="K117" s="6">
        <v>51.61</v>
      </c>
      <c r="L117" s="6">
        <v>56.02</v>
      </c>
      <c r="M117" s="6">
        <v>52.19</v>
      </c>
      <c r="N117" s="6">
        <v>50.19</v>
      </c>
      <c r="O117" s="6">
        <v>67.66</v>
      </c>
    </row>
    <row r="118" spans="8:17" x14ac:dyDescent="0.2">
      <c r="H118" s="129"/>
      <c r="I118" s="137">
        <v>43220</v>
      </c>
      <c r="J118" s="6">
        <v>75.17</v>
      </c>
      <c r="K118" s="6">
        <v>51.84</v>
      </c>
      <c r="L118" s="6">
        <v>55.99</v>
      </c>
      <c r="M118" s="6">
        <v>52.16</v>
      </c>
      <c r="N118" s="6">
        <v>50.29</v>
      </c>
      <c r="O118" s="6">
        <v>67.36</v>
      </c>
      <c r="P118" s="6">
        <v>75.17</v>
      </c>
    </row>
    <row r="119" spans="8:17" x14ac:dyDescent="0.2">
      <c r="H119" s="129"/>
      <c r="I119" s="137">
        <v>43251</v>
      </c>
      <c r="J119" s="6">
        <v>77.59</v>
      </c>
      <c r="K119" s="6">
        <v>52.08</v>
      </c>
      <c r="L119" s="6">
        <v>55.96</v>
      </c>
      <c r="M119" s="6">
        <v>52.11</v>
      </c>
      <c r="N119" s="6">
        <v>50.4</v>
      </c>
      <c r="O119" s="6">
        <v>67.08</v>
      </c>
      <c r="P119" s="6">
        <v>75.63</v>
      </c>
    </row>
    <row r="120" spans="8:17" x14ac:dyDescent="0.2">
      <c r="H120" s="129"/>
      <c r="I120" s="137">
        <v>43280</v>
      </c>
      <c r="J120" s="6">
        <v>79.44</v>
      </c>
      <c r="K120" s="6">
        <v>52.32</v>
      </c>
      <c r="L120" s="6">
        <v>55.94</v>
      </c>
      <c r="M120" s="6">
        <v>52.05</v>
      </c>
      <c r="N120" s="6">
        <v>50.5</v>
      </c>
      <c r="O120" s="6">
        <v>66.77</v>
      </c>
      <c r="P120" s="6">
        <v>75.63</v>
      </c>
    </row>
    <row r="121" spans="8:17" x14ac:dyDescent="0.2">
      <c r="H121" s="129"/>
      <c r="I121" s="137">
        <v>43312</v>
      </c>
      <c r="J121" s="6">
        <v>74.25</v>
      </c>
      <c r="K121" s="6">
        <v>52.56</v>
      </c>
      <c r="L121" s="6">
        <v>55.92</v>
      </c>
      <c r="M121" s="6">
        <v>52.02</v>
      </c>
      <c r="N121" s="6">
        <v>50.61</v>
      </c>
      <c r="O121" s="6">
        <v>66.42</v>
      </c>
      <c r="P121" s="6">
        <v>75.63</v>
      </c>
      <c r="Q121" s="6">
        <v>74.25</v>
      </c>
    </row>
    <row r="122" spans="8:17" x14ac:dyDescent="0.2">
      <c r="H122" s="129"/>
      <c r="I122" s="137">
        <v>43343</v>
      </c>
      <c r="K122" s="6">
        <v>52.74</v>
      </c>
      <c r="L122" s="6">
        <v>55.89</v>
      </c>
      <c r="M122" s="6">
        <v>51.99</v>
      </c>
      <c r="N122" s="6">
        <v>50.69</v>
      </c>
      <c r="O122" s="6">
        <v>66.06</v>
      </c>
      <c r="P122" s="6">
        <v>75.67</v>
      </c>
      <c r="Q122" s="6">
        <v>73.646666666666661</v>
      </c>
    </row>
    <row r="123" spans="8:17" x14ac:dyDescent="0.2">
      <c r="H123" s="129"/>
      <c r="I123" s="137">
        <v>43373</v>
      </c>
      <c r="K123" s="6">
        <v>52.92</v>
      </c>
      <c r="L123" s="6">
        <v>55.85</v>
      </c>
      <c r="M123" s="6">
        <v>51.95</v>
      </c>
      <c r="N123" s="6">
        <v>50.74</v>
      </c>
      <c r="O123" s="6">
        <v>65.69</v>
      </c>
      <c r="P123" s="6">
        <v>75.349999999999994</v>
      </c>
      <c r="Q123" s="6">
        <v>73.043333333333322</v>
      </c>
    </row>
    <row r="124" spans="8:17" x14ac:dyDescent="0.2">
      <c r="H124" s="129"/>
      <c r="I124" s="137">
        <v>43403</v>
      </c>
      <c r="K124" s="6">
        <v>53.09</v>
      </c>
      <c r="L124" s="6">
        <v>55.79</v>
      </c>
      <c r="M124" s="6">
        <v>51.89</v>
      </c>
      <c r="N124" s="6">
        <v>50.79</v>
      </c>
      <c r="O124" s="6">
        <v>65.33</v>
      </c>
      <c r="P124" s="6">
        <v>74.989999999999995</v>
      </c>
      <c r="Q124" s="6">
        <v>72.44</v>
      </c>
    </row>
    <row r="125" spans="8:17" x14ac:dyDescent="0.2">
      <c r="H125" s="129"/>
      <c r="I125" s="137">
        <v>43434</v>
      </c>
      <c r="K125" s="6">
        <v>53.24</v>
      </c>
      <c r="L125" s="6">
        <v>55.75</v>
      </c>
      <c r="M125" s="6">
        <v>51.85</v>
      </c>
      <c r="N125" s="6">
        <v>50.83</v>
      </c>
      <c r="O125" s="6">
        <v>65.03</v>
      </c>
      <c r="P125" s="6">
        <v>74.66</v>
      </c>
      <c r="Q125" s="6">
        <v>72.75</v>
      </c>
    </row>
    <row r="126" spans="8:17" x14ac:dyDescent="0.2">
      <c r="H126" s="129"/>
      <c r="I126" s="137">
        <v>43465</v>
      </c>
      <c r="K126" s="6">
        <v>53.38</v>
      </c>
      <c r="L126" s="6">
        <v>55.76</v>
      </c>
      <c r="M126" s="6">
        <v>51.82</v>
      </c>
      <c r="N126" s="6">
        <v>50.85</v>
      </c>
      <c r="O126" s="6">
        <v>64.72</v>
      </c>
      <c r="P126" s="6">
        <v>74.33</v>
      </c>
      <c r="Q126" s="6">
        <v>72.81</v>
      </c>
    </row>
    <row r="127" spans="8:17" x14ac:dyDescent="0.2">
      <c r="H127" s="129"/>
      <c r="I127" s="137">
        <v>43495</v>
      </c>
      <c r="K127" s="6">
        <v>53.57</v>
      </c>
      <c r="L127" s="6">
        <v>55.78</v>
      </c>
      <c r="M127" s="6">
        <v>51.82</v>
      </c>
      <c r="N127" s="6">
        <v>50.92</v>
      </c>
      <c r="O127" s="6">
        <v>64.400000000000006</v>
      </c>
      <c r="P127" s="6">
        <v>73.959999999999994</v>
      </c>
      <c r="Q127" s="6">
        <v>72.78</v>
      </c>
    </row>
    <row r="128" spans="8:17" x14ac:dyDescent="0.2">
      <c r="H128" s="129"/>
      <c r="I128" s="137">
        <v>43523</v>
      </c>
      <c r="K128" s="6">
        <v>53.76</v>
      </c>
      <c r="L128" s="6">
        <v>55.8</v>
      </c>
      <c r="M128" s="6">
        <v>51.82</v>
      </c>
      <c r="N128" s="6">
        <v>51</v>
      </c>
      <c r="O128" s="6">
        <v>64.099999999999994</v>
      </c>
      <c r="P128" s="6">
        <v>73.59</v>
      </c>
      <c r="Q128" s="6">
        <v>72.7</v>
      </c>
    </row>
    <row r="129" spans="8:17" x14ac:dyDescent="0.2">
      <c r="H129" s="129"/>
      <c r="I129" s="137">
        <v>43555</v>
      </c>
      <c r="K129" s="6">
        <v>53.95</v>
      </c>
      <c r="L129" s="6">
        <v>55.82</v>
      </c>
      <c r="M129" s="6">
        <v>51.84</v>
      </c>
      <c r="N129" s="6">
        <v>51.08</v>
      </c>
      <c r="O129" s="6">
        <v>63.8</v>
      </c>
      <c r="P129" s="6">
        <v>73.25</v>
      </c>
      <c r="Q129" s="6">
        <v>72.540000000000006</v>
      </c>
    </row>
    <row r="130" spans="8:17" x14ac:dyDescent="0.2">
      <c r="H130" s="129"/>
      <c r="I130" s="137">
        <v>43585</v>
      </c>
      <c r="K130" s="6">
        <v>54.16</v>
      </c>
      <c r="L130" s="6">
        <v>55.84</v>
      </c>
      <c r="M130" s="6">
        <v>51.87</v>
      </c>
      <c r="N130" s="6">
        <v>51.19</v>
      </c>
      <c r="O130" s="6">
        <v>63.51</v>
      </c>
      <c r="P130" s="6">
        <v>72.92</v>
      </c>
      <c r="Q130" s="6">
        <v>72.36</v>
      </c>
    </row>
    <row r="131" spans="8:17" x14ac:dyDescent="0.2">
      <c r="H131" s="129"/>
      <c r="I131" s="137">
        <v>43614</v>
      </c>
      <c r="K131" s="6">
        <v>54.37</v>
      </c>
      <c r="L131" s="6">
        <v>55.87</v>
      </c>
      <c r="M131" s="6">
        <v>51.86</v>
      </c>
      <c r="N131" s="6">
        <v>51.26</v>
      </c>
      <c r="O131" s="6">
        <v>63.27</v>
      </c>
      <c r="P131" s="6">
        <v>72.56</v>
      </c>
      <c r="Q131" s="6">
        <v>72.16</v>
      </c>
    </row>
    <row r="132" spans="8:17" x14ac:dyDescent="0.2">
      <c r="H132" s="129"/>
      <c r="I132" s="137">
        <v>43646</v>
      </c>
      <c r="K132" s="6">
        <v>54.59</v>
      </c>
      <c r="L132" s="6">
        <v>55.86</v>
      </c>
      <c r="M132" s="6">
        <v>51.83</v>
      </c>
      <c r="N132" s="6">
        <v>51.3</v>
      </c>
      <c r="O132" s="6">
        <v>63</v>
      </c>
      <c r="P132" s="6">
        <v>72.19</v>
      </c>
      <c r="Q132" s="6">
        <v>71.930000000000007</v>
      </c>
    </row>
    <row r="133" spans="8:17" x14ac:dyDescent="0.2">
      <c r="H133" s="129"/>
      <c r="I133" s="137">
        <v>43677</v>
      </c>
      <c r="K133" s="6">
        <v>54.72</v>
      </c>
      <c r="L133" s="6">
        <v>55.86</v>
      </c>
      <c r="M133" s="6">
        <v>51.83</v>
      </c>
      <c r="N133" s="6">
        <v>51.42</v>
      </c>
      <c r="O133" s="6">
        <v>62.72</v>
      </c>
      <c r="P133" s="6">
        <v>71.88</v>
      </c>
      <c r="Q133" s="6">
        <v>71.73</v>
      </c>
    </row>
    <row r="134" spans="8:17" x14ac:dyDescent="0.2">
      <c r="H134" s="129"/>
      <c r="I134" s="137">
        <v>43708</v>
      </c>
      <c r="K134" s="6">
        <v>54.85</v>
      </c>
      <c r="L134" s="6">
        <v>55.86</v>
      </c>
      <c r="M134" s="6">
        <v>51.82</v>
      </c>
      <c r="N134" s="6">
        <v>51.51</v>
      </c>
      <c r="O134" s="6">
        <v>62.47</v>
      </c>
      <c r="P134" s="6">
        <v>71.569999999999993</v>
      </c>
      <c r="Q134" s="6">
        <v>71.53</v>
      </c>
    </row>
    <row r="135" spans="8:17" x14ac:dyDescent="0.2">
      <c r="H135" s="129"/>
      <c r="I135" s="137">
        <v>43738</v>
      </c>
      <c r="K135" s="6">
        <v>54.98</v>
      </c>
      <c r="L135" s="6">
        <v>55.87</v>
      </c>
      <c r="M135" s="6">
        <v>51.83</v>
      </c>
      <c r="N135" s="6">
        <v>51.6</v>
      </c>
      <c r="O135" s="6">
        <v>62.21</v>
      </c>
      <c r="P135" s="6">
        <v>71.22</v>
      </c>
      <c r="Q135" s="6">
        <v>71.33</v>
      </c>
    </row>
    <row r="136" spans="8:17" x14ac:dyDescent="0.2">
      <c r="H136" s="129"/>
      <c r="I136" s="137">
        <v>43768</v>
      </c>
      <c r="K136" s="6">
        <v>55.11</v>
      </c>
      <c r="L136" s="6">
        <v>55.87</v>
      </c>
      <c r="M136" s="6">
        <v>51.82</v>
      </c>
      <c r="N136" s="6">
        <v>51.67</v>
      </c>
      <c r="O136" s="6">
        <v>61.95</v>
      </c>
      <c r="P136" s="6">
        <v>70.91</v>
      </c>
      <c r="Q136" s="6">
        <v>71.11</v>
      </c>
    </row>
    <row r="137" spans="8:17" x14ac:dyDescent="0.2">
      <c r="H137" s="129"/>
      <c r="I137" s="137">
        <v>43799</v>
      </c>
      <c r="K137" s="6">
        <v>55.23</v>
      </c>
      <c r="L137" s="6">
        <v>55.87</v>
      </c>
      <c r="M137" s="6">
        <v>51.84</v>
      </c>
      <c r="N137" s="6">
        <v>51.69</v>
      </c>
      <c r="O137" s="6">
        <v>61.75</v>
      </c>
      <c r="P137" s="6">
        <v>70.58</v>
      </c>
      <c r="Q137" s="6">
        <v>70.91</v>
      </c>
    </row>
    <row r="138" spans="8:17" x14ac:dyDescent="0.2">
      <c r="H138" s="129"/>
      <c r="I138" s="137">
        <v>43830</v>
      </c>
      <c r="K138" s="6">
        <v>55.35</v>
      </c>
      <c r="L138" s="6">
        <v>55.93</v>
      </c>
      <c r="M138" s="6">
        <v>51.85</v>
      </c>
      <c r="N138" s="6">
        <v>51.73</v>
      </c>
      <c r="O138" s="6">
        <v>61.54</v>
      </c>
      <c r="P138" s="6">
        <v>70.19</v>
      </c>
      <c r="Q138" s="6">
        <v>70.67</v>
      </c>
    </row>
    <row r="139" spans="8:17" x14ac:dyDescent="0.2">
      <c r="H139" s="129"/>
      <c r="I139" s="137">
        <v>43860</v>
      </c>
      <c r="L139" s="6">
        <v>55.93</v>
      </c>
      <c r="M139" s="6">
        <v>51.91</v>
      </c>
      <c r="N139" s="6">
        <v>51.84</v>
      </c>
      <c r="O139" s="6">
        <v>61.33</v>
      </c>
      <c r="P139" s="6">
        <v>69.88</v>
      </c>
      <c r="Q139" s="6">
        <v>70.44</v>
      </c>
    </row>
    <row r="140" spans="8:17" x14ac:dyDescent="0.2">
      <c r="H140" s="129"/>
      <c r="I140" s="137">
        <v>43888</v>
      </c>
      <c r="L140" s="6">
        <v>56</v>
      </c>
      <c r="M140" s="6">
        <v>51.98</v>
      </c>
      <c r="N140" s="6">
        <v>51.94</v>
      </c>
      <c r="O140" s="6">
        <v>61.12</v>
      </c>
      <c r="P140" s="6">
        <v>69.599999999999994</v>
      </c>
      <c r="Q140" s="6">
        <v>70.22</v>
      </c>
    </row>
    <row r="141" spans="8:17" x14ac:dyDescent="0.2">
      <c r="H141" s="129"/>
      <c r="I141" s="137">
        <v>43921</v>
      </c>
      <c r="L141" s="6">
        <v>56.06</v>
      </c>
      <c r="M141" s="6">
        <v>52.05</v>
      </c>
      <c r="N141" s="6">
        <v>52.04</v>
      </c>
      <c r="O141" s="6">
        <v>60.91</v>
      </c>
      <c r="P141" s="6">
        <v>69.33</v>
      </c>
      <c r="Q141" s="6">
        <v>70</v>
      </c>
    </row>
    <row r="142" spans="8:17" x14ac:dyDescent="0.2">
      <c r="H142" s="129"/>
      <c r="I142" s="137">
        <v>43951</v>
      </c>
      <c r="L142" s="6">
        <v>56.12</v>
      </c>
      <c r="M142" s="6">
        <v>52.1</v>
      </c>
      <c r="N142" s="6">
        <v>52.15</v>
      </c>
      <c r="O142" s="6">
        <v>60.75</v>
      </c>
      <c r="P142" s="6">
        <v>69.069999999999993</v>
      </c>
      <c r="Q142" s="6">
        <v>69.75</v>
      </c>
    </row>
    <row r="143" spans="8:17" x14ac:dyDescent="0.2">
      <c r="H143" s="129"/>
      <c r="I143" s="137">
        <v>43980</v>
      </c>
      <c r="L143" s="6">
        <v>56.17</v>
      </c>
      <c r="M143" s="6">
        <v>52.15</v>
      </c>
      <c r="N143" s="6">
        <v>52.23</v>
      </c>
      <c r="O143" s="6">
        <v>60.57</v>
      </c>
      <c r="P143" s="6">
        <v>68.84</v>
      </c>
      <c r="Q143" s="6">
        <v>69.52</v>
      </c>
    </row>
    <row r="144" spans="8:17" x14ac:dyDescent="0.2">
      <c r="H144" s="129"/>
      <c r="I144" s="137">
        <v>44012</v>
      </c>
      <c r="L144" s="6">
        <v>56.23</v>
      </c>
      <c r="M144" s="6">
        <v>52.19</v>
      </c>
      <c r="N144" s="6">
        <v>52.32</v>
      </c>
      <c r="O144" s="6">
        <v>60.41</v>
      </c>
      <c r="P144" s="6">
        <v>68.61</v>
      </c>
      <c r="Q144" s="6">
        <v>69.290000000000006</v>
      </c>
    </row>
    <row r="145" spans="8:17" x14ac:dyDescent="0.2">
      <c r="H145" s="129"/>
      <c r="I145" s="137">
        <v>44043</v>
      </c>
      <c r="L145" s="6">
        <v>56.28</v>
      </c>
      <c r="M145" s="6">
        <v>52.25</v>
      </c>
      <c r="N145" s="6">
        <v>52.43</v>
      </c>
      <c r="O145" s="6">
        <v>60.27</v>
      </c>
      <c r="P145" s="6">
        <v>68.33</v>
      </c>
      <c r="Q145" s="6">
        <v>69.040000000000006</v>
      </c>
    </row>
    <row r="146" spans="8:17" x14ac:dyDescent="0.2">
      <c r="H146" s="129"/>
      <c r="I146" s="137">
        <v>44074</v>
      </c>
      <c r="L146" s="6">
        <v>56.33</v>
      </c>
      <c r="M146" s="6">
        <v>52.3</v>
      </c>
      <c r="N146" s="6">
        <v>52.5</v>
      </c>
      <c r="O146" s="6">
        <v>60.15</v>
      </c>
      <c r="P146" s="6">
        <v>68.06</v>
      </c>
      <c r="Q146" s="6">
        <v>68.81</v>
      </c>
    </row>
    <row r="147" spans="8:17" x14ac:dyDescent="0.2">
      <c r="H147" s="129"/>
      <c r="I147" s="137">
        <v>44104</v>
      </c>
      <c r="L147" s="6">
        <v>56.37</v>
      </c>
      <c r="M147" s="6">
        <v>52.36</v>
      </c>
      <c r="N147" s="6">
        <v>52.58</v>
      </c>
      <c r="O147" s="6">
        <v>60.04</v>
      </c>
      <c r="P147" s="6">
        <v>67.83</v>
      </c>
      <c r="Q147" s="6">
        <v>68.58</v>
      </c>
    </row>
    <row r="148" spans="8:17" x14ac:dyDescent="0.2">
      <c r="H148" s="129"/>
      <c r="I148" s="137">
        <v>44134</v>
      </c>
      <c r="L148" s="6">
        <v>56.42</v>
      </c>
      <c r="M148" s="6">
        <v>52.4</v>
      </c>
      <c r="N148" s="6">
        <v>52.64</v>
      </c>
      <c r="O148" s="6">
        <v>59.91</v>
      </c>
      <c r="P148" s="6">
        <v>67.59</v>
      </c>
      <c r="Q148" s="6">
        <v>68.34</v>
      </c>
    </row>
    <row r="149" spans="8:17" x14ac:dyDescent="0.2">
      <c r="H149" s="129"/>
      <c r="I149" s="137">
        <v>44165</v>
      </c>
      <c r="L149" s="6">
        <v>56.46</v>
      </c>
      <c r="M149" s="6">
        <v>52.44</v>
      </c>
      <c r="N149" s="6">
        <v>52.68</v>
      </c>
      <c r="O149" s="6">
        <v>59.78</v>
      </c>
      <c r="P149" s="6">
        <v>67.37</v>
      </c>
      <c r="Q149" s="6">
        <v>68.14</v>
      </c>
    </row>
    <row r="150" spans="8:17" x14ac:dyDescent="0.2">
      <c r="H150" s="129"/>
      <c r="I150" s="137">
        <v>44196</v>
      </c>
      <c r="L150" s="6">
        <v>56.5</v>
      </c>
      <c r="M150" s="6">
        <v>52.48</v>
      </c>
      <c r="N150" s="6">
        <v>52.74</v>
      </c>
      <c r="O150" s="6">
        <v>59.67</v>
      </c>
      <c r="P150" s="6">
        <v>67.11</v>
      </c>
      <c r="Q150" s="6">
        <v>67.91</v>
      </c>
    </row>
    <row r="151" spans="8:17" x14ac:dyDescent="0.2">
      <c r="H151" s="129"/>
      <c r="I151" s="137">
        <v>44227</v>
      </c>
      <c r="O151" s="6">
        <v>59.58</v>
      </c>
      <c r="P151" s="6">
        <v>66.86</v>
      </c>
      <c r="Q151" s="6">
        <v>67.709999999999994</v>
      </c>
    </row>
    <row r="152" spans="8:17" x14ac:dyDescent="0.2">
      <c r="H152" s="129"/>
      <c r="I152" s="137">
        <v>44255</v>
      </c>
      <c r="O152" s="6">
        <v>59.51</v>
      </c>
      <c r="P152" s="6">
        <v>66.59</v>
      </c>
      <c r="Q152" s="6">
        <v>67.52</v>
      </c>
    </row>
    <row r="153" spans="8:17" x14ac:dyDescent="0.2">
      <c r="H153" s="129"/>
      <c r="I153" s="137">
        <v>44286</v>
      </c>
      <c r="O153" s="6">
        <v>59.47</v>
      </c>
      <c r="P153" s="6">
        <v>66.400000000000006</v>
      </c>
      <c r="Q153" s="6">
        <v>67.36</v>
      </c>
    </row>
    <row r="154" spans="8:17" x14ac:dyDescent="0.2">
      <c r="H154" s="129"/>
      <c r="I154" s="137">
        <v>44316</v>
      </c>
      <c r="O154" s="6">
        <v>59.41</v>
      </c>
      <c r="P154" s="6">
        <v>66.25</v>
      </c>
      <c r="Q154" s="6">
        <v>67.209999999999994</v>
      </c>
    </row>
    <row r="155" spans="8:17" x14ac:dyDescent="0.2">
      <c r="H155" s="129"/>
      <c r="I155" s="137">
        <v>44347</v>
      </c>
      <c r="O155" s="6">
        <v>59.33</v>
      </c>
      <c r="P155" s="6">
        <v>66.11</v>
      </c>
      <c r="Q155" s="6">
        <v>67.06</v>
      </c>
    </row>
    <row r="156" spans="8:17" x14ac:dyDescent="0.2">
      <c r="H156" s="129"/>
      <c r="I156" s="137">
        <v>44377</v>
      </c>
      <c r="O156" s="6">
        <v>59.25</v>
      </c>
      <c r="P156" s="6">
        <v>65.97</v>
      </c>
      <c r="Q156" s="6">
        <v>66.91</v>
      </c>
    </row>
    <row r="157" spans="8:17" x14ac:dyDescent="0.2">
      <c r="H157" s="129"/>
      <c r="I157" s="137">
        <v>44408</v>
      </c>
      <c r="O157" s="6">
        <v>59.17</v>
      </c>
      <c r="P157" s="6">
        <v>65.790000000000006</v>
      </c>
      <c r="Q157" s="6">
        <v>66.760000000000005</v>
      </c>
    </row>
    <row r="158" spans="8:17" x14ac:dyDescent="0.2">
      <c r="H158" s="129"/>
      <c r="I158" s="137">
        <v>44439</v>
      </c>
      <c r="O158" s="6">
        <v>59.11</v>
      </c>
      <c r="P158" s="6">
        <v>65.61</v>
      </c>
      <c r="Q158" s="6">
        <v>66.599999999999994</v>
      </c>
    </row>
    <row r="159" spans="8:17" x14ac:dyDescent="0.2">
      <c r="H159" s="129"/>
      <c r="I159" s="137">
        <v>44469</v>
      </c>
      <c r="O159" s="6">
        <v>59.06</v>
      </c>
      <c r="P159" s="6">
        <v>65.430000000000007</v>
      </c>
      <c r="Q159" s="6">
        <v>66.44</v>
      </c>
    </row>
    <row r="160" spans="8:17" x14ac:dyDescent="0.2">
      <c r="H160" s="129"/>
      <c r="I160" s="137">
        <v>44500</v>
      </c>
      <c r="O160" s="6">
        <v>59.01</v>
      </c>
      <c r="P160" s="6">
        <v>65.27</v>
      </c>
      <c r="Q160" s="6">
        <v>66.290000000000006</v>
      </c>
    </row>
    <row r="161" spans="8:17" x14ac:dyDescent="0.2">
      <c r="H161" s="129"/>
      <c r="I161" s="137">
        <v>44530</v>
      </c>
      <c r="O161" s="6">
        <v>58.99</v>
      </c>
      <c r="P161" s="6">
        <v>65.11</v>
      </c>
      <c r="Q161" s="6">
        <v>66.13</v>
      </c>
    </row>
    <row r="162" spans="8:17" x14ac:dyDescent="0.2">
      <c r="H162" s="129"/>
      <c r="I162" s="137">
        <v>44561</v>
      </c>
      <c r="O162" s="6">
        <v>58.98</v>
      </c>
      <c r="P162" s="6">
        <v>64.94</v>
      </c>
      <c r="Q162" s="6">
        <v>65.97</v>
      </c>
    </row>
    <row r="163" spans="8:17" x14ac:dyDescent="0.2">
      <c r="I163" s="137">
        <v>44592</v>
      </c>
    </row>
    <row r="164" spans="8:17" x14ac:dyDescent="0.2">
      <c r="I164" s="137">
        <v>44620</v>
      </c>
    </row>
    <row r="165" spans="8:17" x14ac:dyDescent="0.2">
      <c r="I165" s="137">
        <v>44651</v>
      </c>
    </row>
    <row r="166" spans="8:17" x14ac:dyDescent="0.2">
      <c r="I166" s="137">
        <v>44681</v>
      </c>
    </row>
    <row r="167" spans="8:17" x14ac:dyDescent="0.2">
      <c r="I167" s="137">
        <v>44712</v>
      </c>
    </row>
    <row r="168" spans="8:17" x14ac:dyDescent="0.2">
      <c r="I168" s="137">
        <v>44742</v>
      </c>
    </row>
    <row r="169" spans="8:17" x14ac:dyDescent="0.2">
      <c r="I169" s="137">
        <v>44773</v>
      </c>
    </row>
    <row r="170" spans="8:17" x14ac:dyDescent="0.2">
      <c r="I170" s="137"/>
    </row>
    <row r="171" spans="8:17" x14ac:dyDescent="0.2">
      <c r="I171" s="137"/>
    </row>
    <row r="172" spans="8:17" x14ac:dyDescent="0.2">
      <c r="I172" s="137"/>
    </row>
    <row r="173" spans="8:17" x14ac:dyDescent="0.2">
      <c r="I173" s="137"/>
    </row>
    <row r="174" spans="8:17" x14ac:dyDescent="0.2">
      <c r="I174" s="137"/>
    </row>
    <row r="175" spans="8:17" x14ac:dyDescent="0.2">
      <c r="I175" s="137"/>
    </row>
    <row r="176" spans="8:17" x14ac:dyDescent="0.2">
      <c r="I176" s="13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0"/>
  <dimension ref="B4:AH49"/>
  <sheetViews>
    <sheetView showGridLines="0" topLeftCell="A10" zoomScaleNormal="100" workbookViewId="0">
      <selection activeCell="K38" sqref="K38"/>
    </sheetView>
  </sheetViews>
  <sheetFormatPr defaultColWidth="8.85546875" defaultRowHeight="12.75" x14ac:dyDescent="0.2"/>
  <cols>
    <col min="1" max="1" width="9.42578125" style="6" customWidth="1"/>
    <col min="2" max="11" width="8.85546875" style="6"/>
    <col min="12" max="12" width="28.140625" style="6" bestFit="1" customWidth="1"/>
    <col min="13" max="13" width="28.140625" style="6" customWidth="1"/>
    <col min="14" max="14" width="26.85546875" style="6" customWidth="1"/>
    <col min="15" max="16384" width="8.85546875" style="6"/>
  </cols>
  <sheetData>
    <row r="4" spans="2:34" ht="13.5" thickBot="1" x14ac:dyDescent="0.25">
      <c r="B4" s="127" t="s">
        <v>175</v>
      </c>
      <c r="L4" s="128" t="s">
        <v>204</v>
      </c>
      <c r="M4" s="128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2:34" x14ac:dyDescent="0.2">
      <c r="B5" s="129"/>
      <c r="L5" s="11"/>
      <c r="M5" s="11"/>
    </row>
    <row r="6" spans="2:34" x14ac:dyDescent="0.2">
      <c r="B6" s="129"/>
      <c r="L6" s="11" t="s">
        <v>211</v>
      </c>
      <c r="M6" s="11"/>
    </row>
    <row r="7" spans="2:34" x14ac:dyDescent="0.2">
      <c r="L7" s="20"/>
      <c r="M7" s="20"/>
      <c r="N7" s="20">
        <v>2001</v>
      </c>
      <c r="O7" s="20">
        <v>2002</v>
      </c>
      <c r="P7" s="20">
        <v>2003</v>
      </c>
      <c r="Q7" s="20">
        <v>2004</v>
      </c>
      <c r="R7" s="20">
        <v>2005</v>
      </c>
      <c r="S7" s="20">
        <v>2006</v>
      </c>
      <c r="T7" s="20">
        <v>2007</v>
      </c>
      <c r="U7" s="20">
        <v>2008</v>
      </c>
      <c r="V7" s="20">
        <v>2009</v>
      </c>
      <c r="W7" s="20">
        <v>2010</v>
      </c>
      <c r="X7" s="20">
        <v>2011</v>
      </c>
      <c r="Y7" s="20">
        <v>2012</v>
      </c>
      <c r="Z7" s="20">
        <v>2013</v>
      </c>
      <c r="AA7" s="20">
        <v>2014</v>
      </c>
      <c r="AB7" s="20">
        <v>2015</v>
      </c>
      <c r="AC7" s="20">
        <v>2016</v>
      </c>
      <c r="AD7" s="20">
        <v>2017</v>
      </c>
      <c r="AE7" s="20">
        <v>2018</v>
      </c>
      <c r="AF7" s="20">
        <v>2019</v>
      </c>
      <c r="AG7" s="20">
        <v>2020</v>
      </c>
      <c r="AH7" s="20">
        <v>2021</v>
      </c>
    </row>
    <row r="8" spans="2:34" x14ac:dyDescent="0.2">
      <c r="B8" s="129"/>
      <c r="L8" s="11" t="s">
        <v>601</v>
      </c>
      <c r="M8" s="11" t="s">
        <v>1419</v>
      </c>
      <c r="N8" s="7">
        <v>-3.597928</v>
      </c>
      <c r="O8" s="7">
        <v>-3.1934819999999999</v>
      </c>
      <c r="P8" s="7">
        <v>-1.9854240000000001</v>
      </c>
      <c r="Q8" s="7">
        <v>-1.2281329999999999</v>
      </c>
      <c r="R8" s="7">
        <v>2.7130999999999999E-2</v>
      </c>
      <c r="S8" s="7">
        <v>2.46516</v>
      </c>
      <c r="T8" s="7">
        <v>7.0066660000000001</v>
      </c>
      <c r="U8" s="7">
        <v>7.1516679999999999</v>
      </c>
      <c r="V8" s="7">
        <v>-2.0658530000000002</v>
      </c>
      <c r="W8" s="7">
        <v>-0.53888400000000003</v>
      </c>
      <c r="X8" s="7">
        <v>-1.1888799999999999</v>
      </c>
      <c r="Y8" s="7">
        <v>-2.0904219999999998</v>
      </c>
      <c r="Z8" s="7">
        <v>-2.7469009999999998</v>
      </c>
      <c r="AA8" s="7">
        <v>-2.1404619999999999</v>
      </c>
      <c r="AB8" s="7">
        <v>-1.294022</v>
      </c>
      <c r="AC8" s="7">
        <v>-0.52918900000000002</v>
      </c>
      <c r="AD8" s="7">
        <v>-8.9820000000000004E-3</v>
      </c>
      <c r="AE8" s="7">
        <v>0.64208399999999999</v>
      </c>
      <c r="AF8" s="7">
        <v>1.1803980000000001</v>
      </c>
    </row>
    <row r="9" spans="2:34" x14ac:dyDescent="0.2">
      <c r="B9" s="129"/>
      <c r="L9" s="11" t="s">
        <v>292</v>
      </c>
      <c r="M9" s="11" t="s">
        <v>1411</v>
      </c>
      <c r="N9" s="7">
        <v>-1.0791494151434897</v>
      </c>
      <c r="O9" s="7">
        <v>-1.013001798792446</v>
      </c>
      <c r="P9" s="7">
        <v>-0.83664790730202876</v>
      </c>
      <c r="Q9" s="7">
        <v>-1.2939489698222335</v>
      </c>
      <c r="R9" s="7">
        <v>-1.7302960109505237</v>
      </c>
      <c r="S9" s="7">
        <v>-1.1361323802830292</v>
      </c>
      <c r="T9" s="7">
        <v>2.0150011059226913</v>
      </c>
      <c r="U9" s="7">
        <v>2.1114919845562614</v>
      </c>
      <c r="V9" s="7">
        <v>-4.5094251453294936</v>
      </c>
      <c r="W9" s="7">
        <v>-0.8760480498927381</v>
      </c>
      <c r="X9" s="7">
        <v>-0.77585399429241664</v>
      </c>
      <c r="Y9" s="7">
        <v>-1.1158438001645326</v>
      </c>
      <c r="Z9" s="7">
        <v>-1.8812097992715326</v>
      </c>
      <c r="AA9" s="7">
        <v>-1.4198886200940108</v>
      </c>
      <c r="AB9" s="7">
        <v>-0.57442112011097579</v>
      </c>
      <c r="AC9" s="7">
        <v>-0.11443656117859048</v>
      </c>
      <c r="AD9" s="7">
        <v>0.13851173470652545</v>
      </c>
      <c r="AE9" s="7">
        <v>0.55284119144566346</v>
      </c>
      <c r="AF9" s="7">
        <v>1.2066913895963918</v>
      </c>
      <c r="AG9" s="7">
        <v>1.2809644075061895</v>
      </c>
      <c r="AH9" s="7">
        <v>1.2345563159508914</v>
      </c>
    </row>
    <row r="10" spans="2:34" x14ac:dyDescent="0.2">
      <c r="B10" s="129"/>
      <c r="L10" s="11" t="s">
        <v>293</v>
      </c>
      <c r="M10" s="11" t="s">
        <v>1420</v>
      </c>
      <c r="N10" s="7">
        <v>-3.6</v>
      </c>
      <c r="O10" s="7">
        <v>-3.19</v>
      </c>
      <c r="P10" s="7">
        <v>-1.99</v>
      </c>
      <c r="Q10" s="7">
        <v>-1.23</v>
      </c>
      <c r="R10" s="7">
        <v>0.02</v>
      </c>
      <c r="S10" s="7">
        <v>2.46</v>
      </c>
      <c r="T10" s="7">
        <v>7</v>
      </c>
      <c r="U10" s="7">
        <v>7.15</v>
      </c>
      <c r="V10" s="7">
        <v>-2.06</v>
      </c>
      <c r="W10" s="7">
        <v>-0.52</v>
      </c>
      <c r="X10" s="7">
        <v>-1.1599999999999999</v>
      </c>
      <c r="Y10" s="7">
        <v>-2.04</v>
      </c>
      <c r="Z10" s="7">
        <v>-2.68</v>
      </c>
      <c r="AA10" s="7">
        <v>-2.0699999999999998</v>
      </c>
      <c r="AB10" s="7">
        <v>-1.24</v>
      </c>
      <c r="AC10" s="7">
        <v>-0.56000000000000005</v>
      </c>
      <c r="AD10" s="7">
        <v>-0.28000000000000003</v>
      </c>
      <c r="AE10" s="7">
        <v>0.14000000000000001</v>
      </c>
      <c r="AF10" s="7">
        <v>0.63</v>
      </c>
      <c r="AG10" s="7">
        <v>0.76</v>
      </c>
      <c r="AH10" s="7">
        <v>0.63</v>
      </c>
    </row>
    <row r="11" spans="2:34" x14ac:dyDescent="0.2">
      <c r="B11" s="129"/>
    </row>
    <row r="12" spans="2:34" x14ac:dyDescent="0.2">
      <c r="B12" s="129"/>
    </row>
    <row r="13" spans="2:34" x14ac:dyDescent="0.2">
      <c r="B13" s="129"/>
    </row>
    <row r="14" spans="2:34" x14ac:dyDescent="0.2">
      <c r="B14" s="129"/>
    </row>
    <row r="15" spans="2:34" x14ac:dyDescent="0.2">
      <c r="B15" s="129"/>
    </row>
    <row r="16" spans="2:34" x14ac:dyDescent="0.2">
      <c r="B16" s="129"/>
    </row>
    <row r="17" spans="2:10" x14ac:dyDescent="0.2">
      <c r="B17" s="129"/>
    </row>
    <row r="18" spans="2:10" x14ac:dyDescent="0.2">
      <c r="B18" s="129"/>
    </row>
    <row r="23" spans="2:10" x14ac:dyDescent="0.2">
      <c r="B23" s="127" t="s">
        <v>723</v>
      </c>
      <c r="C23" s="11"/>
      <c r="D23" s="11"/>
      <c r="E23" s="11"/>
      <c r="F23" s="11"/>
      <c r="G23" s="11"/>
      <c r="H23" s="11"/>
      <c r="I23" s="11"/>
      <c r="J23" s="11"/>
    </row>
    <row r="24" spans="2:10" ht="51.75" thickBot="1" x14ac:dyDescent="0.25">
      <c r="B24" s="151"/>
      <c r="C24" s="152" t="s">
        <v>291</v>
      </c>
      <c r="D24" s="152" t="s">
        <v>105</v>
      </c>
      <c r="E24" s="152" t="s">
        <v>591</v>
      </c>
      <c r="F24" s="152" t="s">
        <v>106</v>
      </c>
      <c r="G24" s="152" t="s">
        <v>107</v>
      </c>
    </row>
    <row r="25" spans="2:10" x14ac:dyDescent="0.2">
      <c r="B25" s="153">
        <v>2012</v>
      </c>
      <c r="C25" s="154">
        <v>-1.1158438001645326</v>
      </c>
      <c r="D25" s="155">
        <v>2.3392027635712909</v>
      </c>
      <c r="E25" s="156">
        <v>1.3859716441586067</v>
      </c>
      <c r="F25" s="156">
        <v>0.80470059278428996</v>
      </c>
      <c r="G25" s="157">
        <v>0.148530526628394</v>
      </c>
    </row>
    <row r="26" spans="2:10" x14ac:dyDescent="0.2">
      <c r="B26" s="153">
        <v>2013</v>
      </c>
      <c r="C26" s="154">
        <v>-1.8812097992715326</v>
      </c>
      <c r="D26" s="155">
        <v>2.0325169793967479</v>
      </c>
      <c r="E26" s="156">
        <v>1.3689786897523222</v>
      </c>
      <c r="F26" s="156">
        <v>0.54879212857616377</v>
      </c>
      <c r="G26" s="157">
        <v>0.11474616106826208</v>
      </c>
    </row>
    <row r="27" spans="2:10" x14ac:dyDescent="0.2">
      <c r="B27" s="153">
        <v>2014</v>
      </c>
      <c r="C27" s="154">
        <v>-1.4198886200940108</v>
      </c>
      <c r="D27" s="155">
        <v>2.4467217344574133</v>
      </c>
      <c r="E27" s="156">
        <v>1.5704014666392068</v>
      </c>
      <c r="F27" s="156">
        <v>0.5173526608266692</v>
      </c>
      <c r="G27" s="157">
        <v>0.35896760699153724</v>
      </c>
    </row>
    <row r="28" spans="2:10" x14ac:dyDescent="0.2">
      <c r="B28" s="153">
        <v>2015</v>
      </c>
      <c r="C28" s="154">
        <v>-0.57442112011097579</v>
      </c>
      <c r="D28" s="155">
        <v>2.9472940569317929</v>
      </c>
      <c r="E28" s="156">
        <v>1.6732819711690836</v>
      </c>
      <c r="F28" s="156">
        <v>0.79143629507126101</v>
      </c>
      <c r="G28" s="157">
        <v>0.48257579069144863</v>
      </c>
    </row>
    <row r="29" spans="2:10" x14ac:dyDescent="0.2">
      <c r="B29" s="153">
        <v>2016</v>
      </c>
      <c r="C29" s="409">
        <v>-0.11443656117859048</v>
      </c>
      <c r="D29" s="1">
        <v>2.9443598319073727</v>
      </c>
      <c r="E29" s="410">
        <v>1.5699033305675365</v>
      </c>
      <c r="F29" s="410">
        <v>0.84471632304200694</v>
      </c>
      <c r="G29" s="411">
        <v>0.52974017829782916</v>
      </c>
    </row>
    <row r="30" spans="2:10" ht="13.5" thickBot="1" x14ac:dyDescent="0.25">
      <c r="B30" s="158">
        <v>2017</v>
      </c>
      <c r="C30" s="3">
        <v>0.13851173470652545</v>
      </c>
      <c r="D30" s="2">
        <v>3.0485211948110491</v>
      </c>
      <c r="E30" s="8">
        <v>1.9175605598379641</v>
      </c>
      <c r="F30" s="8">
        <v>0.63133212821473306</v>
      </c>
      <c r="G30" s="159">
        <v>0.49962850675835191</v>
      </c>
    </row>
    <row r="31" spans="2:10" x14ac:dyDescent="0.2">
      <c r="B31" s="153" t="s">
        <v>108</v>
      </c>
      <c r="C31" s="154">
        <v>0.55284119144566346</v>
      </c>
      <c r="D31" s="155">
        <v>3.6087797614897887</v>
      </c>
      <c r="E31" s="156">
        <v>2.313365190438371</v>
      </c>
      <c r="F31" s="156">
        <v>0.85844674919793962</v>
      </c>
      <c r="G31" s="157">
        <v>0.43696782185347816</v>
      </c>
    </row>
    <row r="32" spans="2:10" x14ac:dyDescent="0.2">
      <c r="B32" s="153" t="s">
        <v>109</v>
      </c>
      <c r="C32" s="154">
        <v>1.2066913895963918</v>
      </c>
      <c r="D32" s="155">
        <v>3.8242482996339699</v>
      </c>
      <c r="E32" s="156">
        <v>2.668673865511292</v>
      </c>
      <c r="F32" s="156">
        <v>0.87162963164460239</v>
      </c>
      <c r="G32" s="157">
        <v>0.28394480247807563</v>
      </c>
    </row>
    <row r="33" spans="2:11" x14ac:dyDescent="0.2">
      <c r="B33" s="153" t="s">
        <v>290</v>
      </c>
      <c r="C33" s="154">
        <v>1.2809644075061895</v>
      </c>
      <c r="D33" s="155">
        <v>3.8561069086486377</v>
      </c>
      <c r="E33" s="156">
        <v>2.6706908088287209</v>
      </c>
      <c r="F33" s="156">
        <v>0.91075997541528086</v>
      </c>
      <c r="G33" s="157">
        <v>0.27465612440463594</v>
      </c>
    </row>
    <row r="34" spans="2:11" x14ac:dyDescent="0.2">
      <c r="B34" s="153" t="s">
        <v>597</v>
      </c>
      <c r="C34" s="154">
        <v>1.2345563159508914</v>
      </c>
      <c r="D34" s="155">
        <v>3.3756092976961138</v>
      </c>
      <c r="E34" s="156">
        <v>2.2270803356587447</v>
      </c>
      <c r="F34" s="156">
        <v>0.92905503982037463</v>
      </c>
      <c r="G34" s="157">
        <v>0.21947392221699438</v>
      </c>
    </row>
    <row r="38" spans="2:11" x14ac:dyDescent="0.2">
      <c r="B38" s="127" t="s">
        <v>1413</v>
      </c>
      <c r="C38" s="11"/>
      <c r="D38" s="11"/>
      <c r="E38" s="11"/>
      <c r="F38" s="11"/>
      <c r="G38" s="11"/>
      <c r="K38" s="127" t="s">
        <v>1418</v>
      </c>
    </row>
    <row r="39" spans="2:11" ht="51.75" thickBot="1" x14ac:dyDescent="0.25">
      <c r="B39" s="151"/>
      <c r="C39" s="152" t="s">
        <v>1414</v>
      </c>
      <c r="D39" s="152" t="s">
        <v>1415</v>
      </c>
      <c r="E39" s="152" t="s">
        <v>591</v>
      </c>
      <c r="F39" s="152" t="s">
        <v>1416</v>
      </c>
      <c r="G39" s="152" t="s">
        <v>1417</v>
      </c>
    </row>
    <row r="40" spans="2:11" x14ac:dyDescent="0.2">
      <c r="B40" s="783">
        <v>2012</v>
      </c>
      <c r="C40" s="154">
        <v>-1.1158438001645326</v>
      </c>
      <c r="D40" s="155">
        <v>2.3392027635712909</v>
      </c>
      <c r="E40" s="156">
        <v>1.3859716441586067</v>
      </c>
      <c r="F40" s="156">
        <v>0.80470059278428996</v>
      </c>
      <c r="G40" s="157">
        <v>0.148530526628394</v>
      </c>
    </row>
    <row r="41" spans="2:11" x14ac:dyDescent="0.2">
      <c r="B41" s="783">
        <v>2013</v>
      </c>
      <c r="C41" s="154">
        <v>-1.8812097992715326</v>
      </c>
      <c r="D41" s="155">
        <v>2.0325169793967479</v>
      </c>
      <c r="E41" s="156">
        <v>1.3689786897523222</v>
      </c>
      <c r="F41" s="156">
        <v>0.54879212857616377</v>
      </c>
      <c r="G41" s="157">
        <v>0.11474616106826208</v>
      </c>
    </row>
    <row r="42" spans="2:11" x14ac:dyDescent="0.2">
      <c r="B42" s="783">
        <v>2014</v>
      </c>
      <c r="C42" s="154">
        <v>-1.4198886200940108</v>
      </c>
      <c r="D42" s="155">
        <v>2.4467217344574133</v>
      </c>
      <c r="E42" s="156">
        <v>1.5704014666392068</v>
      </c>
      <c r="F42" s="156">
        <v>0.5173526608266692</v>
      </c>
      <c r="G42" s="157">
        <v>0.35896760699153724</v>
      </c>
    </row>
    <row r="43" spans="2:11" x14ac:dyDescent="0.2">
      <c r="B43" s="783">
        <v>2015</v>
      </c>
      <c r="C43" s="154">
        <v>-0.57442112011097579</v>
      </c>
      <c r="D43" s="155">
        <v>2.9472940569317929</v>
      </c>
      <c r="E43" s="156">
        <v>1.6732819711690836</v>
      </c>
      <c r="F43" s="156">
        <v>0.79143629507126101</v>
      </c>
      <c r="G43" s="157">
        <v>0.48257579069144863</v>
      </c>
    </row>
    <row r="44" spans="2:11" x14ac:dyDescent="0.2">
      <c r="B44" s="783">
        <v>2016</v>
      </c>
      <c r="C44" s="409">
        <v>-0.11443656117859048</v>
      </c>
      <c r="D44" s="1">
        <v>2.9443598319073727</v>
      </c>
      <c r="E44" s="410">
        <v>1.5699033305675365</v>
      </c>
      <c r="F44" s="410">
        <v>0.84471632304200694</v>
      </c>
      <c r="G44" s="411">
        <v>0.52974017829782916</v>
      </c>
    </row>
    <row r="45" spans="2:11" ht="13.5" thickBot="1" x14ac:dyDescent="0.25">
      <c r="B45" s="158">
        <v>2017</v>
      </c>
      <c r="C45" s="3">
        <v>0.13851173470652545</v>
      </c>
      <c r="D45" s="2">
        <v>3.0485211948110491</v>
      </c>
      <c r="E45" s="8">
        <v>1.9175605598379641</v>
      </c>
      <c r="F45" s="8">
        <v>0.63133212821473306</v>
      </c>
      <c r="G45" s="159">
        <v>0.49962850675835191</v>
      </c>
    </row>
    <row r="46" spans="2:11" x14ac:dyDescent="0.2">
      <c r="B46" s="783" t="s">
        <v>108</v>
      </c>
      <c r="C46" s="154">
        <v>0.55284119144566346</v>
      </c>
      <c r="D46" s="155">
        <v>3.6087797614897887</v>
      </c>
      <c r="E46" s="156">
        <v>2.313365190438371</v>
      </c>
      <c r="F46" s="156">
        <v>0.85844674919793962</v>
      </c>
      <c r="G46" s="157">
        <v>0.43696782185347816</v>
      </c>
    </row>
    <row r="47" spans="2:11" x14ac:dyDescent="0.2">
      <c r="B47" s="783" t="s">
        <v>109</v>
      </c>
      <c r="C47" s="154">
        <v>1.2066913895963918</v>
      </c>
      <c r="D47" s="155">
        <v>3.8242482996339699</v>
      </c>
      <c r="E47" s="156">
        <v>2.668673865511292</v>
      </c>
      <c r="F47" s="156">
        <v>0.87162963164460239</v>
      </c>
      <c r="G47" s="157">
        <v>0.28394480247807563</v>
      </c>
    </row>
    <row r="48" spans="2:11" x14ac:dyDescent="0.2">
      <c r="B48" s="783" t="s">
        <v>290</v>
      </c>
      <c r="C48" s="154">
        <v>1.2809644075061895</v>
      </c>
      <c r="D48" s="155">
        <v>3.8561069086486377</v>
      </c>
      <c r="E48" s="156">
        <v>2.6706908088287209</v>
      </c>
      <c r="F48" s="156">
        <v>0.91075997541528086</v>
      </c>
      <c r="G48" s="157">
        <v>0.27465612440463594</v>
      </c>
    </row>
    <row r="49" spans="2:7" x14ac:dyDescent="0.2">
      <c r="B49" s="783" t="s">
        <v>597</v>
      </c>
      <c r="C49" s="154">
        <v>1.2345563159508914</v>
      </c>
      <c r="D49" s="155">
        <v>3.3756092976961138</v>
      </c>
      <c r="E49" s="156">
        <v>2.2270803356587447</v>
      </c>
      <c r="F49" s="156">
        <v>0.92905503982037463</v>
      </c>
      <c r="G49" s="157">
        <v>0.21947392221699438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1"/>
  <dimension ref="B3:T29"/>
  <sheetViews>
    <sheetView showGridLines="0" zoomScaleNormal="100" workbookViewId="0"/>
  </sheetViews>
  <sheetFormatPr defaultColWidth="8.85546875" defaultRowHeight="12.75" x14ac:dyDescent="0.2"/>
  <cols>
    <col min="1" max="1" width="11.28515625" style="6" customWidth="1"/>
    <col min="2" max="12" width="8.85546875" style="6"/>
    <col min="13" max="14" width="17.7109375" style="6" customWidth="1"/>
    <col min="15" max="16384" width="8.85546875" style="6"/>
  </cols>
  <sheetData>
    <row r="3" spans="2:20" x14ac:dyDescent="0.2">
      <c r="C3" s="129"/>
    </row>
    <row r="4" spans="2:20" ht="13.5" thickBot="1" x14ac:dyDescent="0.25">
      <c r="B4" s="127" t="s">
        <v>200</v>
      </c>
      <c r="C4" s="129"/>
      <c r="M4" s="128" t="s">
        <v>204</v>
      </c>
      <c r="N4" s="128"/>
      <c r="O4" s="57"/>
      <c r="P4" s="57"/>
      <c r="Q4" s="57"/>
      <c r="R4" s="57"/>
      <c r="S4" s="57"/>
      <c r="T4" s="57"/>
    </row>
    <row r="5" spans="2:20" x14ac:dyDescent="0.2">
      <c r="B5" s="11"/>
      <c r="C5" s="129"/>
    </row>
    <row r="6" spans="2:20" x14ac:dyDescent="0.2">
      <c r="B6" s="11"/>
      <c r="C6" s="129"/>
      <c r="M6" s="11" t="s">
        <v>276</v>
      </c>
      <c r="N6" s="11"/>
    </row>
    <row r="7" spans="2:20" x14ac:dyDescent="0.2">
      <c r="B7" s="11"/>
      <c r="C7" s="129"/>
      <c r="M7" s="16"/>
      <c r="N7" s="16"/>
      <c r="O7" s="16">
        <v>2016</v>
      </c>
      <c r="P7" s="16">
        <v>2017</v>
      </c>
      <c r="Q7" s="16">
        <v>2018</v>
      </c>
      <c r="R7" s="16">
        <v>2019</v>
      </c>
      <c r="S7" s="16">
        <v>2020</v>
      </c>
      <c r="T7" s="16">
        <v>2021</v>
      </c>
    </row>
    <row r="8" spans="2:20" x14ac:dyDescent="0.2">
      <c r="C8" s="129"/>
      <c r="M8" s="11" t="s">
        <v>110</v>
      </c>
      <c r="N8" s="11" t="s">
        <v>110</v>
      </c>
      <c r="O8" s="7">
        <v>4.2</v>
      </c>
      <c r="P8" s="7">
        <v>5.5314930794494526</v>
      </c>
      <c r="Q8" s="7">
        <v>6.4359699260711452</v>
      </c>
      <c r="R8" s="7">
        <v>5.200009868175071</v>
      </c>
      <c r="S8" s="7">
        <v>4.5567639693027697</v>
      </c>
      <c r="T8" s="7">
        <v>2.6312798892773821</v>
      </c>
    </row>
    <row r="9" spans="2:20" x14ac:dyDescent="0.2">
      <c r="C9" s="129"/>
      <c r="M9" s="11" t="s">
        <v>111</v>
      </c>
      <c r="N9" s="11" t="s">
        <v>111</v>
      </c>
      <c r="O9" s="7">
        <v>6.3041484339949605E-3</v>
      </c>
      <c r="P9" s="7">
        <v>1.7733578263882777E-2</v>
      </c>
      <c r="Q9" s="7">
        <v>0.50041341330267564</v>
      </c>
      <c r="R9" s="7">
        <v>1.7770087888030845</v>
      </c>
      <c r="S9" s="7">
        <v>1.9939556350942791</v>
      </c>
      <c r="T9" s="7">
        <v>3.6009298514962089</v>
      </c>
    </row>
    <row r="10" spans="2:20" x14ac:dyDescent="0.2">
      <c r="C10" s="129"/>
      <c r="M10" s="11" t="s">
        <v>113</v>
      </c>
      <c r="N10" s="11" t="s">
        <v>1363</v>
      </c>
      <c r="O10" s="7">
        <v>4.2063041484339951</v>
      </c>
      <c r="P10" s="7">
        <v>5.5314930794494526</v>
      </c>
      <c r="Q10" s="7">
        <v>6.7104046080914319</v>
      </c>
      <c r="R10" s="7">
        <v>6.5285662397688569</v>
      </c>
      <c r="S10" s="7">
        <v>6.1100924011372069</v>
      </c>
      <c r="T10" s="7">
        <v>5.3586842252936213</v>
      </c>
    </row>
    <row r="11" spans="2:20" x14ac:dyDescent="0.2">
      <c r="C11" s="129"/>
      <c r="M11" s="11" t="s">
        <v>112</v>
      </c>
      <c r="N11" s="11" t="s">
        <v>1364</v>
      </c>
      <c r="O11" s="7">
        <v>4.2063041484339951</v>
      </c>
      <c r="P11" s="7">
        <v>5.5314930794494526</v>
      </c>
      <c r="Q11" s="7">
        <v>6.6994242029860605</v>
      </c>
      <c r="R11" s="7">
        <v>6.223309830149125</v>
      </c>
      <c r="S11" s="7">
        <v>5.7804134408923726</v>
      </c>
      <c r="T11" s="7">
        <v>5.2864148133345656</v>
      </c>
    </row>
    <row r="12" spans="2:20" x14ac:dyDescent="0.2">
      <c r="P12" s="11"/>
    </row>
    <row r="29" spans="2:2" x14ac:dyDescent="0.2">
      <c r="B29" s="127" t="s">
        <v>1412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B2:O42"/>
  <sheetViews>
    <sheetView showGridLines="0" zoomScaleNormal="100" workbookViewId="0">
      <selection activeCell="B24" sqref="B24:L24"/>
    </sheetView>
  </sheetViews>
  <sheetFormatPr defaultColWidth="9.140625" defaultRowHeight="15.75" customHeight="1" x14ac:dyDescent="0.2"/>
  <cols>
    <col min="1" max="1" width="9.140625" style="6"/>
    <col min="2" max="2" width="9.140625" style="6" customWidth="1"/>
    <col min="3" max="3" width="47.5703125" style="6" customWidth="1"/>
    <col min="4" max="8" width="9.140625" style="6"/>
    <col min="9" max="12" width="9.140625" style="6" customWidth="1"/>
    <col min="13" max="16384" width="9.140625" style="6"/>
  </cols>
  <sheetData>
    <row r="2" spans="2:15" ht="12.75" x14ac:dyDescent="0.2"/>
    <row r="3" spans="2:15" ht="12.75" x14ac:dyDescent="0.2"/>
    <row r="4" spans="2:15" ht="13.5" thickBot="1" x14ac:dyDescent="0.25">
      <c r="B4" s="817" t="s">
        <v>689</v>
      </c>
      <c r="C4" s="817"/>
      <c r="D4" s="817"/>
      <c r="E4" s="817"/>
      <c r="F4" s="817"/>
      <c r="G4" s="817"/>
      <c r="H4" s="817"/>
      <c r="I4" s="817"/>
      <c r="J4" s="817"/>
      <c r="K4" s="817"/>
      <c r="L4" s="817"/>
      <c r="O4" s="221"/>
    </row>
    <row r="5" spans="2:15" ht="16.5" customHeight="1" thickBot="1" x14ac:dyDescent="0.25">
      <c r="B5" s="347" t="s">
        <v>64</v>
      </c>
      <c r="C5" s="347" t="s">
        <v>7</v>
      </c>
      <c r="D5" s="354"/>
      <c r="E5" s="818" t="s">
        <v>65</v>
      </c>
      <c r="F5" s="819"/>
      <c r="G5" s="819"/>
      <c r="H5" s="820"/>
      <c r="I5" s="821" t="s">
        <v>66</v>
      </c>
      <c r="J5" s="819"/>
      <c r="K5" s="819"/>
      <c r="L5" s="819"/>
    </row>
    <row r="6" spans="2:15" ht="16.5" customHeight="1" thickBot="1" x14ac:dyDescent="0.25">
      <c r="B6" s="4"/>
      <c r="C6" s="4"/>
      <c r="D6" s="525" t="s">
        <v>67</v>
      </c>
      <c r="E6" s="524">
        <v>2018</v>
      </c>
      <c r="F6" s="525">
        <v>2019</v>
      </c>
      <c r="G6" s="525">
        <v>2020</v>
      </c>
      <c r="H6" s="361">
        <v>2021</v>
      </c>
      <c r="I6" s="126">
        <v>2018</v>
      </c>
      <c r="J6" s="126">
        <v>2019</v>
      </c>
      <c r="K6" s="126">
        <v>2020</v>
      </c>
      <c r="L6" s="126">
        <v>2021</v>
      </c>
    </row>
    <row r="7" spans="2:15" ht="16.5" customHeight="1" x14ac:dyDescent="0.2">
      <c r="B7" s="153">
        <v>1</v>
      </c>
      <c r="C7" s="27" t="s">
        <v>68</v>
      </c>
      <c r="D7" s="153" t="s">
        <v>69</v>
      </c>
      <c r="E7" s="489">
        <v>90.211843279497785</v>
      </c>
      <c r="F7" s="155">
        <v>96.145983098691858</v>
      </c>
      <c r="G7" s="155">
        <v>102.06766035520977</v>
      </c>
      <c r="H7" s="488">
        <v>107.9655682226684</v>
      </c>
      <c r="I7" s="155">
        <v>90.463573923396709</v>
      </c>
      <c r="J7" s="155">
        <v>96.890352908247465</v>
      </c>
      <c r="K7" s="155">
        <v>103.18862243412464</v>
      </c>
      <c r="L7" s="155">
        <v>109.27286677265579</v>
      </c>
    </row>
    <row r="8" spans="2:15" ht="16.5" customHeight="1" x14ac:dyDescent="0.2">
      <c r="B8" s="153">
        <v>2</v>
      </c>
      <c r="C8" s="27" t="s">
        <v>70</v>
      </c>
      <c r="D8" s="153" t="s">
        <v>10</v>
      </c>
      <c r="E8" s="489">
        <v>4.2132237559521224</v>
      </c>
      <c r="F8" s="155">
        <v>4.5082075300671542</v>
      </c>
      <c r="G8" s="155">
        <v>3.8741085149651688</v>
      </c>
      <c r="H8" s="488">
        <v>3.3915538796869038</v>
      </c>
      <c r="I8" s="155">
        <v>4.0747365700230409</v>
      </c>
      <c r="J8" s="155">
        <v>4.4995126620853032</v>
      </c>
      <c r="K8" s="155">
        <v>3.9148883673591151</v>
      </c>
      <c r="L8" s="155">
        <v>3.3252780949083238</v>
      </c>
    </row>
    <row r="9" spans="2:15" ht="16.5" customHeight="1" x14ac:dyDescent="0.2">
      <c r="B9" s="153">
        <v>3</v>
      </c>
      <c r="C9" s="682" t="s">
        <v>910</v>
      </c>
      <c r="D9" s="153" t="s">
        <v>10</v>
      </c>
      <c r="E9" s="489">
        <v>3.4983369697778821</v>
      </c>
      <c r="F9" s="155">
        <v>3.1999225658115416</v>
      </c>
      <c r="G9" s="155">
        <v>2.7793481056987979</v>
      </c>
      <c r="H9" s="488">
        <v>2.482090206729004</v>
      </c>
      <c r="I9" s="362">
        <v>2.95896744030264</v>
      </c>
      <c r="J9" s="363">
        <v>3.2446565266949667</v>
      </c>
      <c r="K9" s="363">
        <v>2.8206049573037628</v>
      </c>
      <c r="L9" s="363">
        <v>2.4180859334398841</v>
      </c>
    </row>
    <row r="10" spans="2:15" ht="16.5" customHeight="1" x14ac:dyDescent="0.2">
      <c r="B10" s="153">
        <v>4</v>
      </c>
      <c r="C10" s="682" t="s">
        <v>911</v>
      </c>
      <c r="D10" s="153" t="s">
        <v>10</v>
      </c>
      <c r="E10" s="489">
        <v>0.6245413252709664</v>
      </c>
      <c r="F10" s="155">
        <v>1.2703806199453993</v>
      </c>
      <c r="G10" s="155">
        <v>1.175795834340021</v>
      </c>
      <c r="H10" s="488">
        <v>1.2006118891987327</v>
      </c>
      <c r="I10" s="362">
        <v>1.7759397914120401</v>
      </c>
      <c r="J10" s="363">
        <v>1.4891573172998385</v>
      </c>
      <c r="K10" s="363">
        <v>1.6901925491522585</v>
      </c>
      <c r="L10" s="363">
        <v>1.1892072822822009</v>
      </c>
    </row>
    <row r="11" spans="2:15" ht="16.5" customHeight="1" x14ac:dyDescent="0.2">
      <c r="B11" s="153">
        <v>5</v>
      </c>
      <c r="C11" s="682" t="s">
        <v>912</v>
      </c>
      <c r="D11" s="153" t="s">
        <v>10</v>
      </c>
      <c r="E11" s="489">
        <v>5.1633486218114477</v>
      </c>
      <c r="F11" s="155">
        <v>3.2799277083456424</v>
      </c>
      <c r="G11" s="155">
        <v>3.2953395740739966</v>
      </c>
      <c r="H11" s="488">
        <v>2.9574304802249207</v>
      </c>
      <c r="I11" s="362">
        <v>9.5593079254990609</v>
      </c>
      <c r="J11" s="363">
        <v>3.087142592502512</v>
      </c>
      <c r="K11" s="363">
        <v>3.0210367968918517</v>
      </c>
      <c r="L11" s="363">
        <v>2.9957550160556901</v>
      </c>
    </row>
    <row r="12" spans="2:15" ht="16.5" customHeight="1" x14ac:dyDescent="0.2">
      <c r="B12" s="153">
        <v>6</v>
      </c>
      <c r="C12" s="682" t="s">
        <v>913</v>
      </c>
      <c r="D12" s="153" t="s">
        <v>10</v>
      </c>
      <c r="E12" s="489">
        <v>7.8756579859551756</v>
      </c>
      <c r="F12" s="155">
        <v>8.5005399917416735</v>
      </c>
      <c r="G12" s="155">
        <v>7.0829799668113091</v>
      </c>
      <c r="H12" s="488">
        <v>5.8855357530764429</v>
      </c>
      <c r="I12" s="362">
        <v>6.7934477777647162</v>
      </c>
      <c r="J12" s="363">
        <v>7.9421012393676493</v>
      </c>
      <c r="K12" s="363">
        <v>6.6272854248330626</v>
      </c>
      <c r="L12" s="363">
        <v>5.7146649088417378</v>
      </c>
    </row>
    <row r="13" spans="2:15" ht="16.5" customHeight="1" x14ac:dyDescent="0.2">
      <c r="B13" s="153">
        <v>7</v>
      </c>
      <c r="C13" s="682" t="s">
        <v>914</v>
      </c>
      <c r="D13" s="153" t="s">
        <v>10</v>
      </c>
      <c r="E13" s="489">
        <v>7.145797474066784</v>
      </c>
      <c r="F13" s="155">
        <v>7.191013511983102</v>
      </c>
      <c r="G13" s="155">
        <v>6.1510222967257056</v>
      </c>
      <c r="H13" s="488">
        <v>5.1881842711139825</v>
      </c>
      <c r="I13" s="362">
        <v>6.6465295257268631</v>
      </c>
      <c r="J13" s="363">
        <v>6.7787482703897339</v>
      </c>
      <c r="K13" s="363">
        <v>5.6929933043320613</v>
      </c>
      <c r="L13" s="363">
        <v>5.0541871690655826</v>
      </c>
    </row>
    <row r="14" spans="2:15" ht="16.5" customHeight="1" x14ac:dyDescent="0.2">
      <c r="B14" s="153">
        <v>8</v>
      </c>
      <c r="C14" s="682" t="s">
        <v>294</v>
      </c>
      <c r="D14" s="153" t="s">
        <v>10</v>
      </c>
      <c r="E14" s="489">
        <v>0.56642343268447592</v>
      </c>
      <c r="F14" s="155">
        <v>1.0994109254611752</v>
      </c>
      <c r="G14" s="155">
        <v>1.0871002021800185</v>
      </c>
      <c r="H14" s="488">
        <v>0.79466472355658557</v>
      </c>
      <c r="I14" s="362">
        <v>0.55284119144566346</v>
      </c>
      <c r="J14" s="363">
        <v>1.2066913895963918</v>
      </c>
      <c r="K14" s="363">
        <v>1.2809644075061895</v>
      </c>
      <c r="L14" s="363">
        <v>1.2345563159508914</v>
      </c>
    </row>
    <row r="15" spans="2:15" ht="16.5" customHeight="1" x14ac:dyDescent="0.2">
      <c r="B15" s="153">
        <v>9</v>
      </c>
      <c r="C15" s="27" t="s">
        <v>279</v>
      </c>
      <c r="D15" s="153" t="s">
        <v>10</v>
      </c>
      <c r="E15" s="489">
        <v>5.2410901467505155</v>
      </c>
      <c r="F15" s="155">
        <v>5.3784860557768877</v>
      </c>
      <c r="G15" s="155">
        <v>5.1984877126654006</v>
      </c>
      <c r="H15" s="488">
        <v>5.211141060197666</v>
      </c>
      <c r="I15" s="362">
        <v>6.1844863731656208</v>
      </c>
      <c r="J15" s="363">
        <v>6.3178677196446209</v>
      </c>
      <c r="K15" s="363">
        <v>6.2209842154131945</v>
      </c>
      <c r="L15" s="363">
        <v>5.4195804195804165</v>
      </c>
    </row>
    <row r="16" spans="2:15" ht="16.5" customHeight="1" x14ac:dyDescent="0.2">
      <c r="B16" s="153">
        <v>10</v>
      </c>
      <c r="C16" s="27" t="s">
        <v>71</v>
      </c>
      <c r="D16" s="153" t="s">
        <v>10</v>
      </c>
      <c r="E16" s="489">
        <v>1.1757367743840286</v>
      </c>
      <c r="F16" s="155">
        <v>0.76718864923273067</v>
      </c>
      <c r="G16" s="155">
        <v>0.73803035223649616</v>
      </c>
      <c r="H16" s="488">
        <v>0.4084680430874954</v>
      </c>
      <c r="I16" s="362">
        <v>0.95138104816898661</v>
      </c>
      <c r="J16" s="363">
        <v>0.61082351184009731</v>
      </c>
      <c r="K16" s="363">
        <v>0.51962547401152026</v>
      </c>
      <c r="L16" s="363">
        <v>0.34237275409294554</v>
      </c>
    </row>
    <row r="17" spans="2:12" ht="16.5" customHeight="1" x14ac:dyDescent="0.2">
      <c r="B17" s="153">
        <v>11</v>
      </c>
      <c r="C17" s="32" t="s">
        <v>72</v>
      </c>
      <c r="D17" s="153" t="s">
        <v>10</v>
      </c>
      <c r="E17" s="489">
        <v>1.663946036842634</v>
      </c>
      <c r="F17" s="155">
        <v>1.0456436719018969</v>
      </c>
      <c r="G17" s="155">
        <v>1.0177997652084603</v>
      </c>
      <c r="H17" s="488">
        <v>0.65996609885750068</v>
      </c>
      <c r="I17" s="362">
        <v>1.9788488243035252</v>
      </c>
      <c r="J17" s="363">
        <v>1.140427931886201</v>
      </c>
      <c r="K17" s="363">
        <v>0.87120048972815223</v>
      </c>
      <c r="L17" s="363">
        <v>0.66797109230412044</v>
      </c>
    </row>
    <row r="18" spans="2:12" ht="16.5" customHeight="1" x14ac:dyDescent="0.2">
      <c r="B18" s="153">
        <v>12</v>
      </c>
      <c r="C18" s="32" t="s">
        <v>73</v>
      </c>
      <c r="D18" s="153" t="s">
        <v>10</v>
      </c>
      <c r="E18" s="489">
        <v>7.2537248845564148</v>
      </c>
      <c r="F18" s="155">
        <v>6.6984931864088422</v>
      </c>
      <c r="G18" s="155">
        <v>6.1404678015497973</v>
      </c>
      <c r="H18" s="488">
        <v>5.8698107335162808</v>
      </c>
      <c r="I18" s="362">
        <v>6.901849836953768</v>
      </c>
      <c r="J18" s="363">
        <v>6.3742792848351684</v>
      </c>
      <c r="K18" s="363">
        <v>5.9254151933624506</v>
      </c>
      <c r="L18" s="363">
        <v>5.6505170972840659</v>
      </c>
    </row>
    <row r="19" spans="2:12" ht="16.5" customHeight="1" x14ac:dyDescent="0.2">
      <c r="B19" s="153">
        <v>13</v>
      </c>
      <c r="C19" s="32" t="s">
        <v>74</v>
      </c>
      <c r="D19" s="153" t="s">
        <v>10</v>
      </c>
      <c r="E19" s="489">
        <v>6.1330169926965512</v>
      </c>
      <c r="F19" s="155">
        <v>5.6317420907997366</v>
      </c>
      <c r="G19" s="155">
        <v>5.1059578963842469</v>
      </c>
      <c r="H19" s="488">
        <v>4.8838057168349502</v>
      </c>
      <c r="I19" s="362">
        <v>5.5379455795497368</v>
      </c>
      <c r="J19" s="363">
        <v>5.1460083669690109</v>
      </c>
      <c r="K19" s="363">
        <v>4.7826219548379383</v>
      </c>
      <c r="L19" s="363">
        <v>4.5590429192604134</v>
      </c>
    </row>
    <row r="20" spans="2:12" ht="16.5" customHeight="1" x14ac:dyDescent="0.2">
      <c r="B20" s="153">
        <v>14</v>
      </c>
      <c r="C20" s="32" t="s">
        <v>75</v>
      </c>
      <c r="D20" s="153" t="s">
        <v>10</v>
      </c>
      <c r="E20" s="489">
        <v>2.0266341670489574</v>
      </c>
      <c r="F20" s="155">
        <v>2.0329114245243307</v>
      </c>
      <c r="G20" s="155">
        <v>2.1948853336249297</v>
      </c>
      <c r="H20" s="488">
        <v>2.347396507362931</v>
      </c>
      <c r="I20" s="362">
        <v>2.5703753063079926</v>
      </c>
      <c r="J20" s="363">
        <v>2.4980389587326624</v>
      </c>
      <c r="K20" s="363">
        <v>2.4837279406170198</v>
      </c>
      <c r="L20" s="363">
        <v>2.495143424228341</v>
      </c>
    </row>
    <row r="21" spans="2:12" ht="15.75" customHeight="1" thickBot="1" x14ac:dyDescent="0.25">
      <c r="B21" s="158">
        <v>15</v>
      </c>
      <c r="C21" s="359" t="s">
        <v>76</v>
      </c>
      <c r="D21" s="158" t="s">
        <v>10</v>
      </c>
      <c r="E21" s="490">
        <v>-1.6182612251644362</v>
      </c>
      <c r="F21" s="2">
        <v>-0.72989785888780268</v>
      </c>
      <c r="G21" s="2">
        <v>-0.12895648905965801</v>
      </c>
      <c r="H21" s="491">
        <v>0.50667013517388204</v>
      </c>
      <c r="I21" s="2">
        <v>-2.2345649782620085</v>
      </c>
      <c r="J21" s="3">
        <v>-1.5300804315960344</v>
      </c>
      <c r="K21" s="3">
        <v>-0.8428149614177689</v>
      </c>
      <c r="L21" s="3">
        <v>-0.40035345257272686</v>
      </c>
    </row>
    <row r="22" spans="2:12" ht="15.75" customHeight="1" x14ac:dyDescent="0.2">
      <c r="B22" s="815"/>
      <c r="C22" s="815"/>
      <c r="D22" s="815"/>
      <c r="E22" s="354"/>
      <c r="J22" s="816" t="s">
        <v>3</v>
      </c>
      <c r="K22" s="816"/>
      <c r="L22" s="816"/>
    </row>
    <row r="24" spans="2:12" ht="15.75" customHeight="1" thickBot="1" x14ac:dyDescent="0.25">
      <c r="B24" s="817" t="s">
        <v>1376</v>
      </c>
      <c r="C24" s="817"/>
      <c r="D24" s="817"/>
      <c r="E24" s="817"/>
      <c r="F24" s="817"/>
      <c r="G24" s="817"/>
      <c r="H24" s="817"/>
      <c r="I24" s="817"/>
      <c r="J24" s="817"/>
      <c r="K24" s="817"/>
      <c r="L24" s="817"/>
    </row>
    <row r="25" spans="2:12" ht="15.75" customHeight="1" thickBot="1" x14ac:dyDescent="0.25">
      <c r="B25" s="347" t="s">
        <v>1377</v>
      </c>
      <c r="C25" s="347" t="s">
        <v>1378</v>
      </c>
      <c r="D25" s="354"/>
      <c r="E25" s="818" t="s">
        <v>1379</v>
      </c>
      <c r="F25" s="819"/>
      <c r="G25" s="819"/>
      <c r="H25" s="820"/>
      <c r="I25" s="821" t="s">
        <v>1393</v>
      </c>
      <c r="J25" s="819"/>
      <c r="K25" s="819"/>
      <c r="L25" s="819"/>
    </row>
    <row r="26" spans="2:12" ht="15.75" customHeight="1" thickBot="1" x14ac:dyDescent="0.25">
      <c r="B26" s="4"/>
      <c r="C26" s="4"/>
      <c r="D26" s="779" t="s">
        <v>1380</v>
      </c>
      <c r="E26" s="778">
        <v>2018</v>
      </c>
      <c r="F26" s="779">
        <v>2019</v>
      </c>
      <c r="G26" s="779">
        <v>2020</v>
      </c>
      <c r="H26" s="361">
        <v>2021</v>
      </c>
      <c r="I26" s="782">
        <v>2018</v>
      </c>
      <c r="J26" s="782">
        <v>2019</v>
      </c>
      <c r="K26" s="782">
        <v>2020</v>
      </c>
      <c r="L26" s="782">
        <v>2021</v>
      </c>
    </row>
    <row r="27" spans="2:12" ht="15.75" customHeight="1" x14ac:dyDescent="0.2">
      <c r="B27" s="783">
        <v>1</v>
      </c>
      <c r="C27" s="781" t="s">
        <v>1382</v>
      </c>
      <c r="D27" s="783" t="s">
        <v>1381</v>
      </c>
      <c r="E27" s="489">
        <v>90.211843279497785</v>
      </c>
      <c r="F27" s="155">
        <v>96.145983098691858</v>
      </c>
      <c r="G27" s="155">
        <v>102.06766035520977</v>
      </c>
      <c r="H27" s="488">
        <v>107.9655682226684</v>
      </c>
      <c r="I27" s="155">
        <v>90.463573923396709</v>
      </c>
      <c r="J27" s="155">
        <v>96.890352908247465</v>
      </c>
      <c r="K27" s="155">
        <v>103.18862243412464</v>
      </c>
      <c r="L27" s="155">
        <v>109.27286677265579</v>
      </c>
    </row>
    <row r="28" spans="2:12" ht="15.75" customHeight="1" x14ac:dyDescent="0.2">
      <c r="B28" s="783">
        <v>2</v>
      </c>
      <c r="C28" s="781" t="s">
        <v>1383</v>
      </c>
      <c r="D28" s="783" t="s">
        <v>10</v>
      </c>
      <c r="E28" s="489">
        <v>4.2132237559521224</v>
      </c>
      <c r="F28" s="155">
        <v>4.5082075300671542</v>
      </c>
      <c r="G28" s="155">
        <v>3.8741085149651688</v>
      </c>
      <c r="H28" s="488">
        <v>3.3915538796869038</v>
      </c>
      <c r="I28" s="155">
        <v>4.0747365700230409</v>
      </c>
      <c r="J28" s="155">
        <v>4.4995126620853032</v>
      </c>
      <c r="K28" s="155">
        <v>3.9148883673591151</v>
      </c>
      <c r="L28" s="155">
        <v>3.3252780949083238</v>
      </c>
    </row>
    <row r="29" spans="2:12" ht="15.75" customHeight="1" x14ac:dyDescent="0.2">
      <c r="B29" s="783">
        <v>3</v>
      </c>
      <c r="C29" s="781" t="s">
        <v>1384</v>
      </c>
      <c r="D29" s="783" t="s">
        <v>10</v>
      </c>
      <c r="E29" s="489">
        <v>3.4983369697778821</v>
      </c>
      <c r="F29" s="155">
        <v>3.1999225658115416</v>
      </c>
      <c r="G29" s="155">
        <v>2.7793481056987979</v>
      </c>
      <c r="H29" s="488">
        <v>2.482090206729004</v>
      </c>
      <c r="I29" s="362">
        <v>2.95896744030264</v>
      </c>
      <c r="J29" s="363">
        <v>3.2446565266949667</v>
      </c>
      <c r="K29" s="363">
        <v>2.8206049573037628</v>
      </c>
      <c r="L29" s="363">
        <v>2.4180859334398841</v>
      </c>
    </row>
    <row r="30" spans="2:12" ht="15.75" customHeight="1" x14ac:dyDescent="0.2">
      <c r="B30" s="783">
        <v>4</v>
      </c>
      <c r="C30" s="781" t="s">
        <v>1385</v>
      </c>
      <c r="D30" s="783" t="s">
        <v>10</v>
      </c>
      <c r="E30" s="489">
        <v>0.6245413252709664</v>
      </c>
      <c r="F30" s="155">
        <v>1.2703806199453993</v>
      </c>
      <c r="G30" s="155">
        <v>1.175795834340021</v>
      </c>
      <c r="H30" s="488">
        <v>1.2006118891987327</v>
      </c>
      <c r="I30" s="362">
        <v>1.7759397914120401</v>
      </c>
      <c r="J30" s="363">
        <v>1.4891573172998385</v>
      </c>
      <c r="K30" s="363">
        <v>1.6901925491522585</v>
      </c>
      <c r="L30" s="363">
        <v>1.1892072822822009</v>
      </c>
    </row>
    <row r="31" spans="2:12" ht="15.75" customHeight="1" x14ac:dyDescent="0.2">
      <c r="B31" s="783">
        <v>5</v>
      </c>
      <c r="C31" s="781" t="s">
        <v>82</v>
      </c>
      <c r="D31" s="783" t="s">
        <v>10</v>
      </c>
      <c r="E31" s="489">
        <v>5.1633486218114477</v>
      </c>
      <c r="F31" s="155">
        <v>3.2799277083456424</v>
      </c>
      <c r="G31" s="155">
        <v>3.2953395740739966</v>
      </c>
      <c r="H31" s="488">
        <v>2.9574304802249207</v>
      </c>
      <c r="I31" s="362">
        <v>9.5593079254990609</v>
      </c>
      <c r="J31" s="363">
        <v>3.087142592502512</v>
      </c>
      <c r="K31" s="363">
        <v>3.0210367968918517</v>
      </c>
      <c r="L31" s="363">
        <v>2.9957550160556901</v>
      </c>
    </row>
    <row r="32" spans="2:12" ht="15.75" customHeight="1" x14ac:dyDescent="0.2">
      <c r="B32" s="783">
        <v>6</v>
      </c>
      <c r="C32" s="781" t="s">
        <v>1386</v>
      </c>
      <c r="D32" s="783" t="s">
        <v>10</v>
      </c>
      <c r="E32" s="489">
        <v>7.8756579859551756</v>
      </c>
      <c r="F32" s="155">
        <v>8.5005399917416735</v>
      </c>
      <c r="G32" s="155">
        <v>7.0829799668113091</v>
      </c>
      <c r="H32" s="488">
        <v>5.8855357530764429</v>
      </c>
      <c r="I32" s="362">
        <v>6.7934477777647162</v>
      </c>
      <c r="J32" s="363">
        <v>7.9421012393676493</v>
      </c>
      <c r="K32" s="363">
        <v>6.6272854248330626</v>
      </c>
      <c r="L32" s="363">
        <v>5.7146649088417378</v>
      </c>
    </row>
    <row r="33" spans="2:12" ht="15.75" customHeight="1" x14ac:dyDescent="0.2">
      <c r="B33" s="783">
        <v>7</v>
      </c>
      <c r="C33" s="781" t="s">
        <v>1387</v>
      </c>
      <c r="D33" s="783" t="s">
        <v>10</v>
      </c>
      <c r="E33" s="489">
        <v>7.145797474066784</v>
      </c>
      <c r="F33" s="155">
        <v>7.191013511983102</v>
      </c>
      <c r="G33" s="155">
        <v>6.1510222967257056</v>
      </c>
      <c r="H33" s="488">
        <v>5.1881842711139825</v>
      </c>
      <c r="I33" s="362">
        <v>6.6465295257268631</v>
      </c>
      <c r="J33" s="363">
        <v>6.7787482703897339</v>
      </c>
      <c r="K33" s="363">
        <v>5.6929933043320613</v>
      </c>
      <c r="L33" s="363">
        <v>5.0541871690655826</v>
      </c>
    </row>
    <row r="34" spans="2:12" ht="15.75" customHeight="1" x14ac:dyDescent="0.2">
      <c r="B34" s="783">
        <v>8</v>
      </c>
      <c r="C34" s="781" t="s">
        <v>1388</v>
      </c>
      <c r="D34" s="783" t="s">
        <v>10</v>
      </c>
      <c r="E34" s="489">
        <v>0.56642343268447592</v>
      </c>
      <c r="F34" s="155">
        <v>1.0994109254611752</v>
      </c>
      <c r="G34" s="155">
        <v>1.0871002021800185</v>
      </c>
      <c r="H34" s="488">
        <v>0.79466472355658557</v>
      </c>
      <c r="I34" s="362">
        <v>0.55284119144566346</v>
      </c>
      <c r="J34" s="363">
        <v>1.2066913895963918</v>
      </c>
      <c r="K34" s="363">
        <v>1.2809644075061895</v>
      </c>
      <c r="L34" s="363">
        <v>1.2345563159508914</v>
      </c>
    </row>
    <row r="35" spans="2:12" ht="15.75" customHeight="1" x14ac:dyDescent="0.2">
      <c r="B35" s="783">
        <v>9</v>
      </c>
      <c r="C35" s="781" t="s">
        <v>1389</v>
      </c>
      <c r="D35" s="783" t="s">
        <v>10</v>
      </c>
      <c r="E35" s="489">
        <v>5.2410901467505155</v>
      </c>
      <c r="F35" s="155">
        <v>5.3784860557768877</v>
      </c>
      <c r="G35" s="155">
        <v>5.1984877126654006</v>
      </c>
      <c r="H35" s="488">
        <v>5.211141060197666</v>
      </c>
      <c r="I35" s="362">
        <v>6.1844863731656208</v>
      </c>
      <c r="J35" s="363">
        <v>6.3178677196446209</v>
      </c>
      <c r="K35" s="363">
        <v>6.2209842154131945</v>
      </c>
      <c r="L35" s="363">
        <v>5.4195804195804165</v>
      </c>
    </row>
    <row r="36" spans="2:12" ht="15.75" customHeight="1" x14ac:dyDescent="0.2">
      <c r="B36" s="783">
        <v>10</v>
      </c>
      <c r="C36" s="781" t="s">
        <v>1390</v>
      </c>
      <c r="D36" s="783" t="s">
        <v>10</v>
      </c>
      <c r="E36" s="489">
        <v>1.1757367743840286</v>
      </c>
      <c r="F36" s="155">
        <v>0.76718864923273067</v>
      </c>
      <c r="G36" s="155">
        <v>0.73803035223649616</v>
      </c>
      <c r="H36" s="488">
        <v>0.4084680430874954</v>
      </c>
      <c r="I36" s="362">
        <v>0.95138104816898661</v>
      </c>
      <c r="J36" s="363">
        <v>0.61082351184009731</v>
      </c>
      <c r="K36" s="363">
        <v>0.51962547401152026</v>
      </c>
      <c r="L36" s="363">
        <v>0.34237275409294554</v>
      </c>
    </row>
    <row r="37" spans="2:12" ht="15.75" customHeight="1" x14ac:dyDescent="0.2">
      <c r="B37" s="783">
        <v>11</v>
      </c>
      <c r="C37" s="780" t="s">
        <v>1391</v>
      </c>
      <c r="D37" s="783" t="s">
        <v>10</v>
      </c>
      <c r="E37" s="489">
        <v>1.663946036842634</v>
      </c>
      <c r="F37" s="155">
        <v>1.0456436719018969</v>
      </c>
      <c r="G37" s="155">
        <v>1.0177997652084603</v>
      </c>
      <c r="H37" s="488">
        <v>0.65996609885750068</v>
      </c>
      <c r="I37" s="362">
        <v>1.9788488243035252</v>
      </c>
      <c r="J37" s="363">
        <v>1.140427931886201</v>
      </c>
      <c r="K37" s="363">
        <v>0.87120048972815223</v>
      </c>
      <c r="L37" s="363">
        <v>0.66797109230412044</v>
      </c>
    </row>
    <row r="38" spans="2:12" ht="15.75" customHeight="1" x14ac:dyDescent="0.2">
      <c r="B38" s="783">
        <v>12</v>
      </c>
      <c r="C38" s="780" t="s">
        <v>1392</v>
      </c>
      <c r="D38" s="783" t="s">
        <v>10</v>
      </c>
      <c r="E38" s="489">
        <v>7.2537248845564148</v>
      </c>
      <c r="F38" s="155">
        <v>6.6984931864088422</v>
      </c>
      <c r="G38" s="155">
        <v>6.1404678015497973</v>
      </c>
      <c r="H38" s="488">
        <v>5.8698107335162808</v>
      </c>
      <c r="I38" s="362">
        <v>6.901849836953768</v>
      </c>
      <c r="J38" s="363">
        <v>6.3742792848351684</v>
      </c>
      <c r="K38" s="363">
        <v>5.9254151933624506</v>
      </c>
      <c r="L38" s="363">
        <v>5.6505170972840659</v>
      </c>
    </row>
    <row r="39" spans="2:12" ht="15.75" customHeight="1" x14ac:dyDescent="0.2">
      <c r="B39" s="783">
        <v>13</v>
      </c>
      <c r="C39" s="780" t="s">
        <v>1394</v>
      </c>
      <c r="D39" s="783" t="s">
        <v>10</v>
      </c>
      <c r="E39" s="489">
        <v>6.1330169926965512</v>
      </c>
      <c r="F39" s="155">
        <v>5.6317420907997366</v>
      </c>
      <c r="G39" s="155">
        <v>5.1059578963842469</v>
      </c>
      <c r="H39" s="488">
        <v>4.8838057168349502</v>
      </c>
      <c r="I39" s="362">
        <v>5.5379455795497368</v>
      </c>
      <c r="J39" s="363">
        <v>5.1460083669690109</v>
      </c>
      <c r="K39" s="363">
        <v>4.7826219548379383</v>
      </c>
      <c r="L39" s="363">
        <v>4.5590429192604134</v>
      </c>
    </row>
    <row r="40" spans="2:12" ht="15.75" customHeight="1" x14ac:dyDescent="0.2">
      <c r="B40" s="783">
        <v>14</v>
      </c>
      <c r="C40" s="780" t="s">
        <v>1395</v>
      </c>
      <c r="D40" s="783" t="s">
        <v>10</v>
      </c>
      <c r="E40" s="489">
        <v>2.0266341670489574</v>
      </c>
      <c r="F40" s="155">
        <v>2.0329114245243307</v>
      </c>
      <c r="G40" s="155">
        <v>2.1948853336249297</v>
      </c>
      <c r="H40" s="488">
        <v>2.347396507362931</v>
      </c>
      <c r="I40" s="362">
        <v>2.5703753063079926</v>
      </c>
      <c r="J40" s="363">
        <v>2.4980389587326624</v>
      </c>
      <c r="K40" s="363">
        <v>2.4837279406170198</v>
      </c>
      <c r="L40" s="363">
        <v>2.495143424228341</v>
      </c>
    </row>
    <row r="41" spans="2:12" ht="15.75" customHeight="1" thickBot="1" x14ac:dyDescent="0.25">
      <c r="B41" s="158">
        <v>15</v>
      </c>
      <c r="C41" s="359" t="s">
        <v>1396</v>
      </c>
      <c r="D41" s="158" t="s">
        <v>10</v>
      </c>
      <c r="E41" s="490">
        <v>-1.6182612251644362</v>
      </c>
      <c r="F41" s="2">
        <v>-0.72989785888780268</v>
      </c>
      <c r="G41" s="2">
        <v>-0.12895648905965801</v>
      </c>
      <c r="H41" s="491">
        <v>0.50667013517388204</v>
      </c>
      <c r="I41" s="2">
        <v>-2.2345649782620085</v>
      </c>
      <c r="J41" s="3">
        <v>-1.5300804315960344</v>
      </c>
      <c r="K41" s="3">
        <v>-0.8428149614177689</v>
      </c>
      <c r="L41" s="3">
        <v>-0.40035345257272686</v>
      </c>
    </row>
    <row r="42" spans="2:12" ht="15.75" customHeight="1" x14ac:dyDescent="0.2">
      <c r="B42" s="815"/>
      <c r="C42" s="815"/>
      <c r="D42" s="815"/>
      <c r="E42" s="354"/>
      <c r="J42" s="816" t="s">
        <v>1038</v>
      </c>
      <c r="K42" s="816"/>
      <c r="L42" s="816"/>
    </row>
  </sheetData>
  <mergeCells count="10">
    <mergeCell ref="B24:L24"/>
    <mergeCell ref="E25:H25"/>
    <mergeCell ref="I25:L25"/>
    <mergeCell ref="B42:D42"/>
    <mergeCell ref="J42:L42"/>
    <mergeCell ref="B22:D22"/>
    <mergeCell ref="J22:L22"/>
    <mergeCell ref="B4:L4"/>
    <mergeCell ref="E5:H5"/>
    <mergeCell ref="I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35</vt:i4>
      </vt:variant>
      <vt:variant>
        <vt:lpstr>Pomenované rozsahy</vt:lpstr>
      </vt:variant>
      <vt:variant>
        <vt:i4>17</vt:i4>
      </vt:variant>
    </vt:vector>
  </HeadingPairs>
  <TitlesOfParts>
    <vt:vector size="52" baseType="lpstr">
      <vt:lpstr>Obsah</vt:lpstr>
      <vt:lpstr>IMF_TABULKA</vt:lpstr>
      <vt:lpstr>Graf 1 + 2</vt:lpstr>
      <vt:lpstr>Graf 3 + 4</vt:lpstr>
      <vt:lpstr>Graf 5 + 6</vt:lpstr>
      <vt:lpstr>Graf 7 + 8</vt:lpstr>
      <vt:lpstr>Box 2_ Graf 9_ Tabuľka 1</vt:lpstr>
      <vt:lpstr>Graf 10</vt:lpstr>
      <vt:lpstr>Tabuľka 2</vt:lpstr>
      <vt:lpstr>Graf 11 </vt:lpstr>
      <vt:lpstr>Graf 12</vt:lpstr>
      <vt:lpstr>Tabuľka 3</vt:lpstr>
      <vt:lpstr>Tabuľka 4</vt:lpstr>
      <vt:lpstr>BOX 3 _ graf 13 + 14 _ Tab5</vt:lpstr>
      <vt:lpstr>Graf 15 + 16</vt:lpstr>
      <vt:lpstr>Tab 6 + Graf 17 + 18</vt:lpstr>
      <vt:lpstr>Graf 19</vt:lpstr>
      <vt:lpstr>Graf 20</vt:lpstr>
      <vt:lpstr>Graf 21</vt:lpstr>
      <vt:lpstr>Graf 22</vt:lpstr>
      <vt:lpstr>Tabuľka 7</vt:lpstr>
      <vt:lpstr>Tabuľka 8</vt:lpstr>
      <vt:lpstr>Graf 23+24+25+26</vt:lpstr>
      <vt:lpstr>Tabuľka 9 </vt:lpstr>
      <vt:lpstr>Tabuľka 10 +11+12</vt:lpstr>
      <vt:lpstr>Tabuľka 13</vt:lpstr>
      <vt:lpstr>Graf 27 + 28</vt:lpstr>
      <vt:lpstr>Graf 29 + 30</vt:lpstr>
      <vt:lpstr>Graf 31+32 </vt:lpstr>
      <vt:lpstr>Graf 33+34</vt:lpstr>
      <vt:lpstr>Graf 35 + 36</vt:lpstr>
      <vt:lpstr>Graf 37 + Tabuľka 14</vt:lpstr>
      <vt:lpstr>Tabuľka 15</vt:lpstr>
      <vt:lpstr>Graf 38+39</vt:lpstr>
      <vt:lpstr>DRM</vt:lpstr>
      <vt:lpstr>'Graf 12'!_ftn1</vt:lpstr>
      <vt:lpstr>'Graf 12'!_ftnref1</vt:lpstr>
      <vt:lpstr>'Graf 31+32 '!_Toc463861271</vt:lpstr>
      <vt:lpstr>'Graf 33+34'!_Toc480577940</vt:lpstr>
      <vt:lpstr>'Graf 33+34'!_Toc480577941</vt:lpstr>
      <vt:lpstr>'Tab 6 + Graf 17 + 18'!_Toc495334756</vt:lpstr>
      <vt:lpstr>'Graf 12'!_Toc495395911</vt:lpstr>
      <vt:lpstr>'Tabuľka 3'!_Toc495395955</vt:lpstr>
      <vt:lpstr>'Tabuľka 15'!_Toc495395966</vt:lpstr>
      <vt:lpstr>'Tabuľka 7'!_Toc526688278</vt:lpstr>
      <vt:lpstr>'Tabuľka 8'!_Toc526688279</vt:lpstr>
      <vt:lpstr>'Tabuľka 9 '!_Toc526688280</vt:lpstr>
      <vt:lpstr>'Tabuľka 9 '!_Toc526783490</vt:lpstr>
      <vt:lpstr>'Tabuľka 10 +11+12'!_Toc526783491</vt:lpstr>
      <vt:lpstr>'Tabuľka 10 +11+12'!_Toc526783492</vt:lpstr>
      <vt:lpstr>'Tabuľka 10 +11+12'!_Toc526783493</vt:lpstr>
      <vt:lpstr>'Graf 22'!GRAF22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2018-11-22T12:21:13Z</dcterms:modified>
</cp:coreProperties>
</file>