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to_zošit"/>
  <bookViews>
    <workbookView xWindow="240" yWindow="108" windowWidth="14808" windowHeight="6312" tabRatio="683" firstSheet="1" activeTab="2"/>
  </bookViews>
  <sheets>
    <sheet name="Obsah" sheetId="9" r:id="rId1"/>
    <sheet name="Sumárna tabuľka" sheetId="2" r:id="rId2"/>
    <sheet name="ŠS_základné hodnotenie" sheetId="3" r:id="rId3"/>
    <sheet name="ŠS_celkové hodnotenie" sheetId="5" state="hidden" r:id="rId4"/>
    <sheet name="VP_základné hodnotenie" sheetId="1" r:id="rId5"/>
    <sheet name="VP_celkové hodnotenie" sheetId="6" state="hidden" r:id="rId6"/>
    <sheet name="FK vs EK" sheetId="12" r:id="rId7"/>
    <sheet name="One-offs" sheetId="7" r:id="rId8"/>
    <sheet name="NPC" sheetId="4" r:id="rId9"/>
    <sheet name="DRM" sheetId="8" r:id="rId10"/>
    <sheet name="Výdavky z EÚ fondov" sheetId="15" r:id="rId11"/>
    <sheet name="Rozhodovacia_Matica" sheetId="17" r:id="rId12"/>
    <sheet name="ESA2010_source" sheetId="1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hidden="1">#REF!</definedName>
    <definedName name="__123Graph_AEXP" hidden="1">#REF!</definedName>
    <definedName name="__123Graph_ATEST1" hidden="1">[5]REER!$AZ$144:$AZ$210</definedName>
    <definedName name="__123Graph_B" hidden="1">#REF!</definedName>
    <definedName name="__123Graph_BCurrent" hidden="1">[6]G!#REF!</definedName>
    <definedName name="__123Graph_BGDP" hidden="1">'[7]Quarterly Program'!#REF!</definedName>
    <definedName name="__123Graph_BMONEY" hidden="1">'[7]Quarterly Program'!#REF!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hidden="1">'[8]i2-KA'!#REF!</definedName>
    <definedName name="__123Graph_XCurrent" hidden="1">'[8]i2-KA'!#REF!</definedName>
    <definedName name="__123Graph_XEXP" hidden="1">[9]EdssGeeGAS!#REF!</definedName>
    <definedName name="__123Graph_XChart1" hidden="1">'[8]i2-KA'!#REF!</definedName>
    <definedName name="__123Graph_XChart2" hidden="1">'[8]i2-KA'!#REF!</definedName>
    <definedName name="__123Graph_XTEST1" hidden="1">[5]REER!$C$9:$C$75</definedName>
    <definedName name="__BOP1">#REF!</definedName>
    <definedName name="__BOP2">[1]BoP!#REF!</definedName>
    <definedName name="__dat1">'[2]work Q real'!#REF!</definedName>
    <definedName name="__dat2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'[3]Annual Tables'!#REF!</definedName>
    <definedName name="__OUT1">#REF!</definedName>
    <definedName name="__OUT2">#REF!</definedName>
    <definedName name="__PAG2">[3]Index!#REF!</definedName>
    <definedName name="__PAG3">[3]Index!#REF!</definedName>
    <definedName name="__PAG4">[3]Index!#REF!</definedName>
    <definedName name="__PAG5">[3]Index!#REF!</definedName>
    <definedName name="__PAG6">[3]Index!#REF!</definedName>
    <definedName name="__PAG7">#REF!</definedName>
    <definedName name="__pro2001">[10]pro2001!$A$1:$B$72</definedName>
    <definedName name="__RES2">[1]RES!#REF!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'[11]Employment Data Sectors (wages)'!$A$8173:$A$8184</definedName>
    <definedName name="_10__123Graph_ACHART_8" hidden="1">'[12]Employment Data Sectors (wages)'!$W$8175:$W$8186</definedName>
    <definedName name="_10__123Graph_BCHART_1" hidden="1">'[13]Employment Data Sectors (wages)'!$B$8173:$B$8184</definedName>
    <definedName name="_100__123Graph_BCHART_8" hidden="1">'[14]Employment Data Sectors (wages)'!$W$13:$W$8187</definedName>
    <definedName name="_105__123Graph_CCHART_1" hidden="1">'[14]Employment Data Sectors (wages)'!$C$8173:$C$8184</definedName>
    <definedName name="_11__123Graph_BCHART_1" hidden="1">'[12]Employment Data Sectors (wages)'!$B$8173:$B$8184</definedName>
    <definedName name="_11__123Graph_BCHART_2" hidden="1">'[13]Employment Data Sectors (wages)'!$B$8173:$B$8184</definedName>
    <definedName name="_110__123Graph_CCHART_2" hidden="1">'[14]Employment Data Sectors (wages)'!$C$8173:$C$8184</definedName>
    <definedName name="_115__123Graph_CCHART_3" hidden="1">'[14]Employment Data Sectors (wages)'!$C$11:$C$8185</definedName>
    <definedName name="_12__123Graph_ACHART_3" hidden="1">'[11]Employment Data Sectors (wages)'!$A$11:$A$8185</definedName>
    <definedName name="_12__123Graph_BCHART_2" hidden="1">'[12]Employment Data Sectors (wages)'!$B$8173:$B$8184</definedName>
    <definedName name="_12__123Graph_BCHART_3" hidden="1">'[13]Employment Data Sectors (wages)'!$B$11:$B$8185</definedName>
    <definedName name="_120__123Graph_CCHART_4" hidden="1">'[14]Employment Data Sectors (wages)'!$C$12:$C$23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'[14]Employment Data Sectors (wages)'!$C$24:$C$35</definedName>
    <definedName name="_13__123Graph_BCHART_3" hidden="1">'[12]Employment Data Sectors (wages)'!$B$11:$B$8185</definedName>
    <definedName name="_13__123Graph_BCHART_4" hidden="1">'[13]Employment Data Sectors (wages)'!$B$12:$B$23</definedName>
    <definedName name="_130__123Graph_CCHART_6" hidden="1">'[14]Employment Data Sectors (wages)'!$U$49:$U$8103</definedName>
    <definedName name="_132Graph_CB" hidden="1">#REF!</definedName>
    <definedName name="_135__123Graph_CCHART_7" hidden="1">'[14]Employment Data Sectors (wages)'!$Y$14:$Y$25</definedName>
    <definedName name="_14__123Graph_ACHART_4" hidden="1">'[11]Employment Data Sectors (wages)'!$A$12:$A$23</definedName>
    <definedName name="_14__123Graph_BCHART_4" hidden="1">'[12]Employment Data Sectors (wages)'!$B$12:$B$23</definedName>
    <definedName name="_14__123Graph_BCHART_5" hidden="1">'[13]Employment Data Sectors (wages)'!$B$24:$B$35</definedName>
    <definedName name="_140__123Graph_CCHART_8" hidden="1">'[14]Employment Data Sectors (wages)'!$W$14:$W$25</definedName>
    <definedName name="_145__123Graph_DCHART_7" hidden="1">'[14]Employment Data Sectors (wages)'!$Y$26:$Y$37</definedName>
    <definedName name="_15__123Graph_BCHART_5" hidden="1">'[12]Employment Data Sectors (wages)'!$B$24:$B$35</definedName>
    <definedName name="_15__123Graph_BCHART_6" hidden="1">'[13]Employment Data Sectors (wages)'!$AS$49:$AS$8103</definedName>
    <definedName name="_150__123Graph_DCHART_8" hidden="1">'[14]Employment Data Sectors (wages)'!$W$26:$W$37</definedName>
    <definedName name="_155__123Graph_ECHART_7" hidden="1">'[14]Employment Data Sectors (wages)'!$Y$38:$Y$49</definedName>
    <definedName name="_16__123Graph_ACHART_5" hidden="1">'[11]Employment Data Sectors (wages)'!$A$24:$A$35</definedName>
    <definedName name="_16__123Graph_BCHART_6" hidden="1">'[12]Employment Data Sectors (wages)'!$AS$49:$AS$8103</definedName>
    <definedName name="_16__123Graph_BCHART_7" hidden="1">'[13]Employment Data Sectors (wages)'!$Y$13:$Y$8187</definedName>
    <definedName name="_160__123Graph_ECHART_8" hidden="1">'[14]Employment Data Sectors (wages)'!$H$86:$H$99</definedName>
    <definedName name="_165__123Graph_FCHART_8" hidden="1">'[14]Employment Data Sectors (wages)'!$H$6:$H$17</definedName>
    <definedName name="_17__123Graph_BCHART_7" hidden="1">'[12]Employment Data Sectors (wages)'!$Y$13:$Y$8187</definedName>
    <definedName name="_17__123Graph_BCHART_8" hidden="1">'[13]Employment Data Sectors (wages)'!$W$13:$W$8187</definedName>
    <definedName name="_18__123Graph_ACHART_6" hidden="1">'[11]Employment Data Sectors (wages)'!$Y$49:$Y$8103</definedName>
    <definedName name="_18__123Graph_BCHART_8" hidden="1">'[12]Employment Data Sectors (wages)'!$W$13:$W$8187</definedName>
    <definedName name="_18__123Graph_CCHART_1" hidden="1">'[13]Employment Data Sectors (wages)'!$C$8173:$C$8184</definedName>
    <definedName name="_19__123Graph_CCHART_1" hidden="1">'[12]Employment Data Sectors (wages)'!$C$8173:$C$8184</definedName>
    <definedName name="_19__123Graph_CCHART_2" hidden="1">'[13]Employment Data Sectors (wages)'!$C$8173:$C$8184</definedName>
    <definedName name="_1992BOPB">#REF!</definedName>
    <definedName name="_1Macros_Import_.qbop">[15]!'[Macros Import].qbop'</definedName>
    <definedName name="_2__123Graph_ACHART_1" hidden="1">'[13]Employment Data Sectors (wages)'!$A$8173:$A$8184</definedName>
    <definedName name="_20__123Graph_ACHART_7" hidden="1">'[11]Employment Data Sectors (wages)'!$Y$8175:$Y$8186</definedName>
    <definedName name="_20__123Graph_CCHART_2" hidden="1">'[12]Employment Data Sectors (wages)'!$C$8173:$C$8184</definedName>
    <definedName name="_20__123Graph_CCHART_3" hidden="1">'[13]Employment Data Sectors (wages)'!$C$11:$C$8185</definedName>
    <definedName name="_20Macros_Import_.qbop">[15]!'[Macros Import].qbop'</definedName>
    <definedName name="_21__123Graph_CCHART_3" hidden="1">'[12]Employment Data Sectors (wages)'!$C$11:$C$8185</definedName>
    <definedName name="_21__123Graph_CCHART_4" hidden="1">'[13]Employment Data Sectors (wages)'!$C$12:$C$23</definedName>
    <definedName name="_22__123Graph_ACHART_8" hidden="1">'[11]Employment Data Sectors (wages)'!$W$8175:$W$8186</definedName>
    <definedName name="_22__123Graph_CCHART_4" hidden="1">'[12]Employment Data Sectors (wages)'!$C$12:$C$23</definedName>
    <definedName name="_22__123Graph_CCHART_5" hidden="1">'[13]Employment Data Sectors (wages)'!$C$24:$C$35</definedName>
    <definedName name="_23__123Graph_CCHART_5" hidden="1">'[12]Employment Data Sectors (wages)'!$C$24:$C$35</definedName>
    <definedName name="_23__123Graph_CCHART_6" hidden="1">'[13]Employment Data Sectors (wages)'!$U$49:$U$8103</definedName>
    <definedName name="_24__123Graph_BCHART_1" hidden="1">'[11]Employment Data Sectors (wages)'!$B$8173:$B$8184</definedName>
    <definedName name="_24__123Graph_CCHART_6" hidden="1">'[12]Employment Data Sectors (wages)'!$U$49:$U$8103</definedName>
    <definedName name="_24__123Graph_CCHART_7" hidden="1">'[13]Employment Data Sectors (wages)'!$Y$14:$Y$25</definedName>
    <definedName name="_25__123Graph_ACHART_1" hidden="1">'[14]Employment Data Sectors (wages)'!$A$8173:$A$8184</definedName>
    <definedName name="_25__123Graph_CCHART_7" hidden="1">'[12]Employment Data Sectors (wages)'!$Y$14:$Y$25</definedName>
    <definedName name="_25__123Graph_CCHART_8" hidden="1">'[13]Employment Data Sectors (wages)'!$W$14:$W$25</definedName>
    <definedName name="_26__123Graph_BCHART_2" hidden="1">'[11]Employment Data Sectors (wages)'!$B$8173:$B$8184</definedName>
    <definedName name="_26__123Graph_CCHART_8" hidden="1">'[12]Employment Data Sectors (wages)'!$W$14:$W$25</definedName>
    <definedName name="_26__123Graph_DCHART_7" hidden="1">'[13]Employment Data Sectors (wages)'!$Y$26:$Y$37</definedName>
    <definedName name="_27__123Graph_DCHART_7" hidden="1">'[12]Employment Data Sectors (wages)'!$Y$26:$Y$37</definedName>
    <definedName name="_27__123Graph_DCHART_8" hidden="1">'[13]Employment Data Sectors (wages)'!$W$26:$W$37</definedName>
    <definedName name="_28__123Graph_BCHART_3" hidden="1">'[11]Employment Data Sectors (wages)'!$B$11:$B$8185</definedName>
    <definedName name="_28__123Graph_DCHART_8" hidden="1">'[12]Employment Data Sectors (wages)'!$W$26:$W$37</definedName>
    <definedName name="_28__123Graph_ECHART_7" hidden="1">'[13]Employment Data Sectors (wages)'!$Y$38:$Y$49</definedName>
    <definedName name="_29__123Graph_ECHART_7" hidden="1">'[12]Employment Data Sectors (wages)'!$Y$38:$Y$49</definedName>
    <definedName name="_29__123Graph_ECHART_8" hidden="1">'[13]Employment Data Sectors (wages)'!$H$86:$H$99</definedName>
    <definedName name="_2Macros_Import_.qbop">[15]!'[Macros Import].qbop'</definedName>
    <definedName name="_3__123Graph_ACHART_1" hidden="1">'[12]Employment Data Sectors (wages)'!$A$8173:$A$8184</definedName>
    <definedName name="_3__123Graph_ACHART_2" hidden="1">'[13]Employment Data Sectors (wages)'!$A$8173:$A$8184</definedName>
    <definedName name="_30__123Graph_ACHART_2" hidden="1">'[14]Employment Data Sectors (wages)'!$A$8173:$A$8184</definedName>
    <definedName name="_30__123Graph_BCHART_4" hidden="1">'[11]Employment Data Sectors (wages)'!$B$12:$B$23</definedName>
    <definedName name="_30__123Graph_ECHART_8" hidden="1">'[12]Employment Data Sectors (wages)'!$H$86:$H$99</definedName>
    <definedName name="_30__123Graph_FCHART_8" hidden="1">'[13]Employment Data Sectors (wages)'!$H$6:$H$17</definedName>
    <definedName name="_31__123Graph_FCHART_8" hidden="1">'[12]Employment Data Sectors (wages)'!$H$6:$H$17</definedName>
    <definedName name="_32__123Graph_BCHART_5" hidden="1">'[11]Employment Data Sectors (wages)'!$B$24:$B$35</definedName>
    <definedName name="_34__123Graph_BCHART_6" hidden="1">'[11]Employment Data Sectors (wages)'!$AS$49:$AS$8103</definedName>
    <definedName name="_35__123Graph_ACHART_3" hidden="1">'[14]Employment Data Sectors (wages)'!$A$11:$A$8185</definedName>
    <definedName name="_36__123Graph_BCHART_7" hidden="1">'[11]Employment Data Sectors (wages)'!$Y$13:$Y$8187</definedName>
    <definedName name="_38__123Graph_BCHART_8" hidden="1">'[11]Employment Data Sectors (wages)'!$W$13:$W$8187</definedName>
    <definedName name="_4__123Graph_ACHART_2" hidden="1">'[12]Employment Data Sectors (wages)'!$A$8173:$A$8184</definedName>
    <definedName name="_4__123Graph_ACHART_3" hidden="1">'[13]Employment Data Sectors (wages)'!$A$11:$A$8185</definedName>
    <definedName name="_40__123Graph_ACHART_4" hidden="1">'[14]Employment Data Sectors (wages)'!$A$12:$A$23</definedName>
    <definedName name="_40__123Graph_CCHART_1" hidden="1">'[11]Employment Data Sectors (wages)'!$C$8173:$C$8184</definedName>
    <definedName name="_42__123Graph_CCHART_2" hidden="1">'[11]Employment Data Sectors (wages)'!$C$8173:$C$8184</definedName>
    <definedName name="_44__123Graph_CCHART_3" hidden="1">'[11]Employment Data Sectors (wages)'!$C$11:$C$8185</definedName>
    <definedName name="_45__123Graph_ACHART_5" hidden="1">'[14]Employment Data Sectors (wages)'!$A$24:$A$35</definedName>
    <definedName name="_46__123Graph_CCHART_4" hidden="1">'[11]Employment Data Sectors (wages)'!$C$12:$C$23</definedName>
    <definedName name="_48__123Graph_CCHART_5" hidden="1">'[11]Employment Data Sectors (wages)'!$C$24:$C$35</definedName>
    <definedName name="_5__123Graph_ACHART_3" hidden="1">'[12]Employment Data Sectors (wages)'!$A$11:$A$8185</definedName>
    <definedName name="_5__123Graph_ACHART_4" hidden="1">'[13]Employment Data Sectors (wages)'!$A$12:$A$23</definedName>
    <definedName name="_50__123Graph_ACHART_6" hidden="1">'[14]Employment Data Sectors (wages)'!$Y$49:$Y$8103</definedName>
    <definedName name="_50__123Graph_CCHART_6" hidden="1">'[11]Employment Data Sectors (wages)'!$U$49:$U$8103</definedName>
    <definedName name="_52__123Graph_CCHART_7" hidden="1">'[11]Employment Data Sectors (wages)'!$Y$14:$Y$25</definedName>
    <definedName name="_54__123Graph_CCHART_8" hidden="1">'[11]Employment Data Sectors (wages)'!$W$14:$W$25</definedName>
    <definedName name="_55__123Graph_ACHART_7" hidden="1">'[14]Employment Data Sectors (wages)'!$Y$8175:$Y$8186</definedName>
    <definedName name="_56__123Graph_DCHART_7" hidden="1">'[11]Employment Data Sectors (wages)'!$Y$26:$Y$37</definedName>
    <definedName name="_58__123Graph_DCHART_8" hidden="1">'[11]Employment Data Sectors (wages)'!$W$26:$W$37</definedName>
    <definedName name="_6__123Graph_ACHART_4" hidden="1">'[12]Employment Data Sectors (wages)'!$A$12:$A$23</definedName>
    <definedName name="_6__123Graph_ACHART_5" hidden="1">'[13]Employment Data Sectors (wages)'!$A$24:$A$35</definedName>
    <definedName name="_60__123Graph_ACHART_8" hidden="1">'[14]Employment Data Sectors (wages)'!$W$8175:$W$8186</definedName>
    <definedName name="_60__123Graph_ECHART_7" hidden="1">'[11]Employment Data Sectors (wages)'!$Y$38:$Y$49</definedName>
    <definedName name="_62__123Graph_ECHART_8" hidden="1">'[11]Employment Data Sectors (wages)'!$H$86:$H$99</definedName>
    <definedName name="_64__123Graph_FCHART_8" hidden="1">'[11]Employment Data Sectors (wages)'!$H$6:$H$17</definedName>
    <definedName name="_65__123Graph_BCHART_1" hidden="1">'[14]Employment Data Sectors (wages)'!$B$8173:$B$8184</definedName>
    <definedName name="_6Macros_Import_.qbop">[15]!'[Macros Import].qbop'</definedName>
    <definedName name="_7__123Graph_ACHART_5" hidden="1">'[12]Employment Data Sectors (wages)'!$A$24:$A$35</definedName>
    <definedName name="_7__123Graph_ACHART_6" hidden="1">'[13]Employment Data Sectors (wages)'!$Y$49:$Y$8103</definedName>
    <definedName name="_70__123Graph_BCHART_2" hidden="1">'[14]Employment Data Sectors (wages)'!$B$8173:$B$8184</definedName>
    <definedName name="_75__123Graph_BCHART_3" hidden="1">'[14]Employment Data Sectors (wages)'!$B$11:$B$8185</definedName>
    <definedName name="_8__123Graph_ACHART_1" hidden="1">'[11]Employment Data Sectors (wages)'!$A$8173:$A$8184</definedName>
    <definedName name="_8__123Graph_ACHART_6" hidden="1">'[12]Employment Data Sectors (wages)'!$Y$49:$Y$8103</definedName>
    <definedName name="_8__123Graph_ACHART_7" hidden="1">'[13]Employment Data Sectors (wages)'!$Y$8175:$Y$8186</definedName>
    <definedName name="_80__123Graph_BCHART_4" hidden="1">'[14]Employment Data Sectors (wages)'!$B$12:$B$23</definedName>
    <definedName name="_85__123Graph_BCHART_5" hidden="1">'[14]Employment Data Sectors (wages)'!$B$24:$B$35</definedName>
    <definedName name="_9__123Graph_ACHART_7" hidden="1">'[12]Employment Data Sectors (wages)'!$Y$8175:$Y$8186</definedName>
    <definedName name="_9__123Graph_ACHART_8" hidden="1">'[13]Employment Data Sectors (wages)'!$W$8175:$W$8186</definedName>
    <definedName name="_90__123Graph_BCHART_6" hidden="1">'[14]Employment Data Sectors (wages)'!$AS$49:$AS$8103</definedName>
    <definedName name="_95__123Graph_BCHART_7" hidden="1">'[14]Employment Data Sectors (wages)'!$Y$13:$Y$8187</definedName>
    <definedName name="_BOP1">#REF!</definedName>
    <definedName name="_BOP2">[1]BoP!#REF!</definedName>
    <definedName name="_dat1">'[2]work Q real'!#REF!</definedName>
    <definedName name="_dat2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tn1" localSheetId="10">'Výdavky z EÚ fondov'!#REF!</definedName>
    <definedName name="_ftnref1" localSheetId="10">'Výdavky z EÚ fondov'!$B$15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TS2">'[3]Annual Tables'!#REF!</definedName>
    <definedName name="_Order1" hidden="1">255</definedName>
    <definedName name="_Order2" hidden="1">255</definedName>
    <definedName name="_OUT1">#REF!</definedName>
    <definedName name="_OUT2">#REF!</definedName>
    <definedName name="_PAG2">[3]Index!#REF!</definedName>
    <definedName name="_PAG3">[3]Index!#REF!</definedName>
    <definedName name="_PAG4">[3]Index!#REF!</definedName>
    <definedName name="_PAG5">[3]Index!#REF!</definedName>
    <definedName name="_PAG6">[3]Index!#REF!</definedName>
    <definedName name="_PAG7">#REF!</definedName>
    <definedName name="_pro2001">[10]pro2001!$A$1:$B$72</definedName>
    <definedName name="_r13">[16]splatnosti!$V$39</definedName>
    <definedName name="_r14">[16]splatnosti!$V$40</definedName>
    <definedName name="_Regression_X" hidden="1">#REF!</definedName>
    <definedName name="_Regression_Y" hidden="1">#REF!</definedName>
    <definedName name="_RES2">[1]RES!#REF!</definedName>
    <definedName name="_RULC">[17]REER!$BA$144:$BA$206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WEO1">#REF!</definedName>
    <definedName name="_WEO2">#REF!</definedName>
    <definedName name="a" hidden="1">[17]REER!$AZ$144:$AZ$210</definedName>
    <definedName name="aaa" hidden="1">'[8]i2-KA'!#REF!</definedName>
    <definedName name="aaaaaaaaaaaaaa">[18]!aaaaaaaaaaaaaa</definedName>
    <definedName name="aas">[19]Contents!$A$1:$C$25</definedName>
    <definedName name="aloha" hidden="1">'[20]i2-KA'!#REF!</definedName>
    <definedName name="ANNUALNOM">#REF!</definedName>
    <definedName name="as">'[19]i-REER'!$A$2:$F$104</definedName>
    <definedName name="ASSUM">#REF!</definedName>
    <definedName name="ASSUMB">#REF!</definedName>
    <definedName name="atrade">[15]!atrade</definedName>
    <definedName name="b">#REF!</definedName>
    <definedName name="BAKLANBOPB">#REF!</definedName>
    <definedName name="BAKLANDEBT2B">#REF!</definedName>
    <definedName name="BAKLDEBT1B">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[18]!bbbbbbbbbbbbbb</definedName>
    <definedName name="BCA">#N/A</definedName>
    <definedName name="BCA_GDP">#N/A</definedName>
    <definedName name="BE">#N/A</definedName>
    <definedName name="BEA">'[21]WEO-BOP'!#REF!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>#REF!</definedName>
    <definedName name="BER">'[21]WEO-BOP'!#REF!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'[21]WEO-BOP'!#REF!</definedName>
    <definedName name="BFDI">'[21]WEO-BOP'!#REF!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[18]!BFLD_DF</definedName>
    <definedName name="BFLG">#N/A</definedName>
    <definedName name="BFLG_D">#N/A</definedName>
    <definedName name="BFLG_DF">#N/A</definedName>
    <definedName name="BFO">'[21]WEO-BOP'!#REF!</definedName>
    <definedName name="BFOA">'[21]WEO-BOP'!#REF!</definedName>
    <definedName name="BFOAG">'[21]WEO-BOP'!#REF!</definedName>
    <definedName name="BFOG">'[21]WEO-BOP'!#REF!</definedName>
    <definedName name="BFOL">'[21]WEO-BOP'!#REF!</definedName>
    <definedName name="BFOL_B">'[21]WEO-BOP'!#REF!</definedName>
    <definedName name="BFOL_G">'[21]WEO-BOP'!#REF!</definedName>
    <definedName name="BFOLG">'[21]WEO-BOP'!#REF!</definedName>
    <definedName name="BFP">'[21]WEO-BOP'!#REF!</definedName>
    <definedName name="BFPA">'[21]WEO-BOP'!#REF!</definedName>
    <definedName name="BFPAG">'[21]WEO-BOP'!#REF!</definedName>
    <definedName name="BFPG">'[21]WEO-BOP'!#REF!</definedName>
    <definedName name="BFPL">'[21]WEO-BOP'!#REF!</definedName>
    <definedName name="BFPLD">'[21]WEO-BOP'!#REF!</definedName>
    <definedName name="BFPLDG">'[21]WEO-BOP'!#REF!</definedName>
    <definedName name="BFPLE">'[21]WEO-BOP'!#REF!</definedName>
    <definedName name="BFRA">#N/A</definedName>
    <definedName name="BGS">'[21]WEO-BOP'!#REF!</definedName>
    <definedName name="BI">#N/A</definedName>
    <definedName name="BID">'[21]WEO-BOP'!#REF!</definedName>
    <definedName name="BK">#N/A</definedName>
    <definedName name="BKF">#N/A</definedName>
    <definedName name="BMG">[22]Q6!$E$28:$AH$28</definedName>
    <definedName name="BMII">#N/A</definedName>
    <definedName name="BMIIB">#N/A</definedName>
    <definedName name="BMIIG">#N/A</definedName>
    <definedName name="BMS">'[21]WEO-BOP'!#REF!</definedName>
    <definedName name="Bolivia">#REF!</definedName>
    <definedName name="BOP">#N/A</definedName>
    <definedName name="BOPB">#REF!</definedName>
    <definedName name="BOPMEMOB">#REF!</definedName>
    <definedName name="bracket_2">[23]Graf14_Graf15!#REF!</definedName>
    <definedName name="BRASS">'[21]WEO-BOP'!#REF!</definedName>
    <definedName name="Brazil">#REF!</definedName>
    <definedName name="BTR">'[21]WEO-BOP'!#REF!</definedName>
    <definedName name="BTRG">'[21]WEO-BOP'!#REF!</definedName>
    <definedName name="BUDGET">#REF!</definedName>
    <definedName name="Budget_expenditure">#REF!</definedName>
    <definedName name="Budget_revenue">#REF!</definedName>
    <definedName name="BXG">[22]Q6!$E$26:$AH$26</definedName>
    <definedName name="BXS">'[21]WEO-BOP'!#REF!</definedName>
    <definedName name="BXTSAq">#REF!</definedName>
    <definedName name="CalcMCV_4">#REF!</definedName>
    <definedName name="calcNGS_NGDP">#N/A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ONCK">#REF!</definedName>
    <definedName name="Cons">#REF!</definedName>
    <definedName name="CORULCSA">[24]E!$V$15:$V$98</definedName>
    <definedName name="CountryCode">[25]readme!$B$2</definedName>
    <definedName name="CurrVintage">[26]Current!$D$66</definedName>
    <definedName name="d" hidden="1">{"Riqfin97",#N/A,FALSE,"Tran";"Riqfinpro",#N/A,FALSE,"Tran"}</definedName>
    <definedName name="DABproj">#N/A</definedName>
    <definedName name="DAGproj">#N/A</definedName>
    <definedName name="daily_interest_rates">'[27]daily calculations'!#REF!</definedName>
    <definedName name="DAproj">#N/A</definedName>
    <definedName name="das" hidden="1">[6]G!#REF!</definedName>
    <definedName name="DASD">#N/A</definedName>
    <definedName name="DASDB">#N/A</definedName>
    <definedName name="DASDG">#N/A</definedName>
    <definedName name="data_area">#REF!</definedName>
    <definedName name="_xlnm.Database">#REF!</definedName>
    <definedName name="DATB">[17]REER!$B$144:$B$240</definedName>
    <definedName name="datcr">'[2]Tab ann curr'!#REF!</definedName>
    <definedName name="date">#REF!</definedName>
    <definedName name="date_EXP">[28]Sheet1!$B$1:$G$1</definedName>
    <definedName name="date_FISC">#REF!</definedName>
    <definedName name="dateIntLiq">#REF!</definedName>
    <definedName name="dateMoney">#REF!</definedName>
    <definedName name="dateprofit">[17]C!$A$9:$A$125</definedName>
    <definedName name="dateRates">#REF!</definedName>
    <definedName name="dateRawQ">'[29]Raw Data'!#REF!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[24]B!$B$20:$B$134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[24]transfer!$A$9:$A$116</definedName>
    <definedName name="datgdp">#REF!</definedName>
    <definedName name="datin1">[17]REER!$B$9:$B$119</definedName>
    <definedName name="datin2">[17]REER!$B$144:$B$253</definedName>
    <definedName name="datq">#REF!</definedName>
    <definedName name="datq1">#REF!</definedName>
    <definedName name="datq2">#REF!</definedName>
    <definedName name="datreer">[17]REER!$B$144:$B$258</definedName>
    <definedName name="datt">#REF!</definedName>
    <definedName name="DBproj">#N/A</definedName>
    <definedName name="dd" hidden="1">{"Riqfin97",#N/A,FALSE,"Tran";"Riqfinpro",#N/A,FALSE,"Tran"}</definedName>
    <definedName name="dd_balance">[30]!dd_balance1[saldo]</definedName>
    <definedName name="dd_cyklus">[31]!dd_cyclus[cyklus]</definedName>
    <definedName name="dd_oneoff">[31]hidden!$B$2:$B$3</definedName>
    <definedName name="ddd" hidden="1">{"Riqfin97",#N/A,FALSE,"Tran";"Riqfinpro",#N/A,FALSE,"Tran"}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[23]Graf14_Graf15!#REF!</definedName>
    <definedName name="degresivita_2">[23]Graf14_Graf15!#REF!</definedName>
    <definedName name="deleteme1" hidden="1">#REF!</definedName>
    <definedName name="deleteme3" hidden="1">#REF!</definedName>
    <definedName name="Department">[32]REER!#REF!</definedName>
    <definedName name="DGproj">#N/A</definedName>
    <definedName name="DLX1.USE">[33]Haver!$A$2:$N$8</definedName>
    <definedName name="DOC">#REF!</definedName>
    <definedName name="dp">[34]DP!$A$1:$E$65536</definedName>
    <definedName name="Dproj">#N/A</definedName>
    <definedName name="dre" hidden="1">[35]M!#REF!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>#REF!</definedName>
    <definedName name="e9db">[36]e9!$A$1:$V$49</definedName>
    <definedName name="EDNA">#N/A</definedName>
    <definedName name="EDSSDESCRIPTOR">#REF!</definedName>
    <definedName name="EDSSFILE">#REF!</definedName>
    <definedName name="EDSSNAME">#REF!</definedName>
    <definedName name="EDSSTIME">#REF!</definedName>
    <definedName name="ee" hidden="1">{"Tab1",#N/A,FALSE,"P";"Tab2",#N/A,FALSE,"P"}</definedName>
    <definedName name="EECB">#REF!</definedName>
    <definedName name="eedx" hidden="1">{"Tab1",#N/A,FALSE,"P";"Tab2",#N/A,FALSE,"P"}</definedName>
    <definedName name="eee" hidden="1">{"Tab1",#N/A,FALSE,"P";"Tab2",#N/A,FALSE,"P"}</definedName>
    <definedName name="EISCODE">#REF!</definedName>
    <definedName name="elect">#REF!</definedName>
    <definedName name="Emerging_HTML_AREA">#REF!</definedName>
    <definedName name="EMETEL">#REF!</definedName>
    <definedName name="ENDA">#N/A</definedName>
    <definedName name="equal_TLC">[23]Graf14_Graf15!#REF!</definedName>
    <definedName name="ExitWRS">[37]Main!$AB$25</definedName>
    <definedName name="fdfs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ig8.2a">#REF!</definedName>
    <definedName name="fill" hidden="1">'[38]Macroframework-Ver.1'!$A$1:$A$267</definedName>
    <definedName name="finan">#REF!</definedName>
    <definedName name="finan1">#REF!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EXPORT">[17]H!$A$2:$F$86</definedName>
    <definedName name="fsd" hidden="1">#REF!</definedName>
    <definedName name="fsdfsdfasdfasdfasd" hidden="1">#REF!</definedName>
    <definedName name="FUNDOBL">#REF!</definedName>
    <definedName name="FUNDOBLB">#REF!</definedName>
    <definedName name="g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'[39]budget-G'!$A$1:$W$109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[39]Expenditures!$A$1:$AC$62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'[40]J(Priv.Cap)'!#REF!</definedName>
    <definedName name="ggggggg">[18]!ggggggg</definedName>
    <definedName name="GGND">#REF!</definedName>
    <definedName name="ggr">[39]Revenues!$A$1:$AD$58</definedName>
    <definedName name="GGRG">#REF!</definedName>
    <definedName name="GPee_2">[23]Graf14_Graf15!#REF!</definedName>
    <definedName name="GPer_2">[23]Graf14_Graf15!#REF!</definedName>
    <definedName name="hgfd" hidden="1">{#N/A,#N/A,FALSE,"I";#N/A,#N/A,FALSE,"J";#N/A,#N/A,FALSE,"K";#N/A,#N/A,FALSE,"L";#N/A,#N/A,FALSE,"M";#N/A,#N/A,FALSE,"N";#N/A,#N/A,FALSE,"O"}</definedName>
    <definedName name="hhh" hidden="1">'[41]J(Priv.Cap)'!#REF!</definedName>
    <definedName name="hhhhhhh">[18]!hhhhhhh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ESS">#REF!</definedName>
    <definedName name="ii" hidden="1">{"Tab1",#N/A,FALSE,"P";"Tab2",#N/A,FALSE,"P"}</definedName>
    <definedName name="II_pilier_2">[23]Graf14_Graf15!#REF!</definedName>
    <definedName name="II_pillar_figure">[23]Graf14_Graf15!#REF!</definedName>
    <definedName name="ima">#REF!</definedName>
    <definedName name="IN1_">#REF!</definedName>
    <definedName name="IN2_">#REF!</definedName>
    <definedName name="INB">[24]B!$K$6:$T$6</definedName>
    <definedName name="INC">[24]C!$H$6:$I$6</definedName>
    <definedName name="ind">#REF!</definedName>
    <definedName name="INECEL">#REF!</definedName>
    <definedName name="inflation" hidden="1">[42]TAB34!#REF!</definedName>
    <definedName name="INPUT_2">[1]Input!#REF!</definedName>
    <definedName name="INPUT_4">[1]Input!#REF!</definedName>
    <definedName name="IPee_2">[23]Graf14_Graf15!#REF!</definedName>
    <definedName name="IPer_2">[23]Graf14_Graf15!#REF!</definedName>
    <definedName name="IT">[23]Graf14_Graf15!#REF!</definedName>
    <definedName name="IT_2">[23]Graf14_Graf15!#REF!</definedName>
    <definedName name="IT_2_bracket_2">[23]Graf14_Graf15!#REF!</definedName>
    <definedName name="jhgf" hidden="1">{"MONA",#N/A,FALSE,"S"}</definedName>
    <definedName name="jj" hidden="1">{"Riqfin97",#N/A,FALSE,"Tran";"Riqfinpro",#N/A,FALSE,"Tran"}</definedName>
    <definedName name="jjj" hidden="1">[43]M!#REF!</definedName>
    <definedName name="jjjjjj" hidden="1">'[40]J(Priv.Cap)'!#REF!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hidden="1">{"Tab1",#N/A,FALSE,"P";"Tab2",#N/A,FALSE,"P"}</definedName>
    <definedName name="kkk" hidden="1">{"Tab1",#N/A,FALSE,"P";"Tab2",#N/A,FALSE,"P"}</definedName>
    <definedName name="kkkk" hidden="1">[35]M!#REF!</definedName>
    <definedName name="Konto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hidden="1">[43]M!#REF!</definedName>
    <definedName name="ls">[34]LS!$A$1:$E$65536</definedName>
    <definedName name="LUR">#N/A</definedName>
    <definedName name="Malaysia">#REF!</definedName>
    <definedName name="MCV">#N/A</definedName>
    <definedName name="MCV_B">#N/A</definedName>
    <definedName name="MCV_B1">'[21]WEO-BOP'!#REF!</definedName>
    <definedName name="MCV_D">#N/A</definedName>
    <definedName name="MCV_N">#N/A</definedName>
    <definedName name="MCV_T">#N/A</definedName>
    <definedName name="MENORES">#REF!</definedName>
    <definedName name="mesec1">#REF!</definedName>
    <definedName name="mesec2">#REF!</definedName>
    <definedName name="mf" hidden="1">{"Tab1",#N/A,FALSE,"P";"Tab2",#N/A,FALSE,"P"}</definedName>
    <definedName name="MFISCAL">'[3]Annual Raw Data'!#REF!</definedName>
    <definedName name="mflowsa">[15]!mflowsa</definedName>
    <definedName name="mflowsq">[15]!mflowsq</definedName>
    <definedName name="MICRO">#REF!</definedName>
    <definedName name="min_VZ">[23]Graf14_Graf15!#REF!</definedName>
    <definedName name="MISC3">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>#REF!</definedName>
    <definedName name="MONF_SM">#REF!</definedName>
    <definedName name="MONTH">[17]REER!$D$140:$E$199</definedName>
    <definedName name="mstocksa">[15]!mstocksa</definedName>
    <definedName name="mstocksq">[15]!mstocksq</definedName>
    <definedName name="MTO">#REF!</definedName>
    <definedName name="Municipios">#REF!</definedName>
    <definedName name="MVZ_1.5x">[23]Graf14_Graf15!#REF!</definedName>
    <definedName name="MVZ_4x">[23]Graf14_Graf15!#REF!</definedName>
    <definedName name="MVZ_5x">[23]Graf14_Graf15!#REF!</definedName>
    <definedName name="MW">[23]Graf14_Graf15!#REF!</definedName>
    <definedName name="MW_2">[23]Graf14_Graf15!#REF!</definedName>
    <definedName name="NACTCURRENT">#REF!</definedName>
    <definedName name="nam1out">#REF!</definedName>
    <definedName name="nam2in">#REF!</definedName>
    <definedName name="nam2out">#REF!</definedName>
    <definedName name="NAMB">[17]REER!$AY$143:$BB$143</definedName>
    <definedName name="namcr">'[2]Tab ann curr'!#REF!</definedName>
    <definedName name="namcs">'[2]Tab ann cst'!#REF!</definedName>
    <definedName name="name_AD">[28]Sheet1!$A$20</definedName>
    <definedName name="name_EXP">[28]Sheet1!$N$54:$N$71</definedName>
    <definedName name="name_FISC">#REF!</definedName>
    <definedName name="nameIntLiq">#REF!</definedName>
    <definedName name="nameMoney">#REF!</definedName>
    <definedName name="nameRATES">#REF!</definedName>
    <definedName name="nameRAWQ">'[29]Raw Data'!#REF!</definedName>
    <definedName name="nameReal">#REF!</definedName>
    <definedName name="names">#REF!</definedName>
    <definedName name="NAMES_fidr_r">[27]monthly!#REF!</definedName>
    <definedName name="names_figb_r">[27]monthly!#REF!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[24]transfer!$C$1:$O$1</definedName>
    <definedName name="namgdp">#REF!</definedName>
    <definedName name="NAMIN">#REF!</definedName>
    <definedName name="namin1">[17]REER!$F$1:$BP$1</definedName>
    <definedName name="namin2">[17]REER!$F$138:$AA$138</definedName>
    <definedName name="namind">'[2]work Q real'!#REF!</definedName>
    <definedName name="naminm">#REF!</definedName>
    <definedName name="naminq">#REF!</definedName>
    <definedName name="namm">#REF!</definedName>
    <definedName name="NAMOUT">#REF!</definedName>
    <definedName name="namout1">[17]REER!$F$2:$AA$2</definedName>
    <definedName name="namoutm">#REF!</definedName>
    <definedName name="namoutq">#REF!</definedName>
    <definedName name="namprofit">[17]C!$O$1:$Z$1</definedName>
    <definedName name="namq">#REF!</definedName>
    <definedName name="namq1">#REF!</definedName>
    <definedName name="namq2">#REF!</definedName>
    <definedName name="namreer">[17]REER!$AY$143:$BF$143</definedName>
    <definedName name="namsgdp">#REF!</definedName>
    <definedName name="namtin">#REF!</definedName>
    <definedName name="namtout">#REF!</definedName>
    <definedName name="namulc">[17]REER!$BI$1:$BP$1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>[23]Graf14_Graf15!#REF!</definedName>
    <definedName name="NCZD_2">[23]Graf14_Graf15!#REF!</definedName>
    <definedName name="NEER">[17]REER!$AY$144:$AY$206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Pee_2">[23]Graf14_Graf15!#REF!</definedName>
    <definedName name="NPer_2">[23]Graf14_Graf15!#REF!</definedName>
    <definedName name="NTDD_RG">[18]!NTDD_RG</definedName>
    <definedName name="NX">#N/A</definedName>
    <definedName name="NX_R">#N/A</definedName>
    <definedName name="NXG_RG">#N/A</definedName>
    <definedName name="_xlnm.Print_Area">#N/A</definedName>
    <definedName name="Odh">#REF!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[44]output!$A$3:$P$128</definedName>
    <definedName name="OUTB">[24]B!$D$6:$H$6</definedName>
    <definedName name="outc">[24]C!$C$6:$D$6</definedName>
    <definedName name="output">#REF!</definedName>
    <definedName name="output_projections">[45]projections!$A$3:$R$108</definedName>
    <definedName name="output1">[20]output!$A$1:$J$122</definedName>
    <definedName name="p" hidden="1">{"Riqfin97",#N/A,FALSE,"Tran";"Riqfinpro",#N/A,FALSE,"Tran"}</definedName>
    <definedName name="Page_4">#REF!</definedName>
    <definedName name="page2">#REF!</definedName>
    <definedName name="pata" hidden="1">{"Tab1",#N/A,FALSE,"P";"Tab2",#N/A,FALSE,"P"}</definedName>
    <definedName name="PCPIG">#N/A</definedName>
    <definedName name="Petroecuador">#REF!</definedName>
    <definedName name="pchar00memu.m">[27]monthly!#REF!</definedName>
    <definedName name="podatki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>#REF!</definedName>
    <definedName name="Print">#REF!</definedName>
    <definedName name="PRINT1">[46]Index!#REF!</definedName>
    <definedName name="PRINT2">[46]Index!#REF!</definedName>
    <definedName name="PRINT3">[46]Index!#REF!</definedName>
    <definedName name="PrintThis_Links">[37]Links!$A$1:$F$33</definedName>
    <definedName name="profit">[17]C!$O$1:$T$1</definedName>
    <definedName name="prorač">[47]Prorač!$A:$IV</definedName>
    <definedName name="PvNee_2">[23]Graf14_Graf15!#REF!</definedName>
    <definedName name="PvNer_2">[23]Graf14_Graf15!#REF!</definedName>
    <definedName name="Q6_">#REF!</definedName>
    <definedName name="QFISCAL">'[3]Quarterly Raw Data'!#REF!</definedName>
    <definedName name="qq" hidden="1">'[41]J(Priv.Cap)'!#REF!</definedName>
    <definedName name="qtab_35">'[48]i1-CA'!#REF!</definedName>
    <definedName name="QTAB7">'[3]Quarterly MacroFlow'!#REF!</definedName>
    <definedName name="QTAB7A">'[3]Quarterly MacroFlow'!#REF!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[49]Sheet1!$A$1:$I$406</definedName>
    <definedName name="realizacija">[49]Sheet1!$A$1:$I$406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[17]REER!$AZ$144:$AZ$206</definedName>
    <definedName name="REERPPI">[17]REER!$BB$144:$BB$206</definedName>
    <definedName name="RefVintage">[25]readme!$B$4</definedName>
    <definedName name="REGISTERALL">#REF!</definedName>
    <definedName name="RFSee_2">[23]Graf14_Graf15!#REF!</definedName>
    <definedName name="RFSer_2">[23]Graf14_Graf15!#REF!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[37]Main!$AB$26</definedName>
    <definedName name="rngDepartmentDrive">[37]Main!$AB$23</definedName>
    <definedName name="rngEMailAddress">[37]Main!$AB$20</definedName>
    <definedName name="rngErrorSort">[37]ErrCheck!$A$4</definedName>
    <definedName name="rngLastSave">[37]Main!$G$19</definedName>
    <definedName name="rngLastSent">[37]Main!$G$18</definedName>
    <definedName name="rngLastUpdate">[37]Links!$D$2</definedName>
    <definedName name="rngNeedsUpdate">[37]Links!$E$2</definedName>
    <definedName name="rngNews">[37]Main!$AB$27</definedName>
    <definedName name="rngQuestChecked">[37]ErrCheck!$A$3</definedName>
    <definedName name="rounding">[23]Graf14_Graf15!#REF!</definedName>
    <definedName name="rr" hidden="1">{"Riqfin97",#N/A,FALSE,"Tran";"Riqfinpro",#N/A,FALSE,"Tran"}</definedName>
    <definedName name="rrr" hidden="1">{"Riqfin97",#N/A,FALSE,"Tran";"Riqfinpro",#N/A,FALSE,"Tran"}</definedName>
    <definedName name="RULCPPI">[17]C!$O$9:$O$71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>#REF!</definedName>
    <definedName name="seitable">'[50]Sel. Ind. Tbl'!$A$3:$G$75</definedName>
    <definedName name="sencount" hidden="1">2</definedName>
    <definedName name="SPee_2">[23]Graf14_Graf15!#REF!</definedName>
    <definedName name="SPer_2">[23]Graf14_Graf15!#REF!</definedName>
    <definedName name="SprejetiProracun">#REF!</definedName>
    <definedName name="SR_3">#REF!</definedName>
    <definedName name="SR_5">#REF!</definedName>
    <definedName name="SS">[51]IMATA!$B$45:$B$108</definedName>
    <definedName name="StatusTable">[25]readme!$A$12:$B$21</definedName>
    <definedName name="T1.13">#REF!</definedName>
    <definedName name="t2q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'[3]Annual Tables'!#REF!</definedName>
    <definedName name="TAB6B">'[3]Annual Tables'!#REF!</definedName>
    <definedName name="TAB6C">#REF!</definedName>
    <definedName name="TAB7A">#REF!</definedName>
    <definedName name="tabC1">#REF!</definedName>
    <definedName name="tabC2">#REF!</definedName>
    <definedName name="Tabela_6a">#REF!</definedName>
    <definedName name="tabela3a">'[52]Table 1'!#REF!</definedName>
    <definedName name="Tabelaxx">#REF!</definedName>
    <definedName name="tabF">#REF!</definedName>
    <definedName name="tabH">#REF!</definedName>
    <definedName name="tabI">#REF!</definedName>
    <definedName name="Table__47">[53]RED47!$A$1:$I$53</definedName>
    <definedName name="Table_2._Country_X___Public_Sector_Financing_1">#REF!</definedName>
    <definedName name="Table_4SR">#REF!</definedName>
    <definedName name="Table_debt">[54]Table!$A$3:$AB$73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ME">#REF!</definedName>
    <definedName name="Tbl_GFN">[54]Table_GEF!$B$2:$T$53</definedName>
    <definedName name="tblChecks">[37]ErrCheck!$A$3:$E$5</definedName>
    <definedName name="tblLinks">[37]Links!$A$4:$F$33</definedName>
    <definedName name="TEMP">[55]Data!#REF!</definedName>
    <definedName name="tempo_kles">[23]Graf14_Graf15!#REF!</definedName>
    <definedName name="tempo_kles_2">[23]Graf14_Graf15!#REF!</definedName>
    <definedName name="text" hidden="1">{#N/A,#N/A,FALSE,"CB";#N/A,#N/A,FALSE,"CMB";#N/A,#N/A,FALSE,"BSYS";#N/A,#N/A,FALSE,"NBFI";#N/A,#N/A,FALSE,"FSYS"}</definedName>
    <definedName name="TMG_D">[22]Q5!$E$23:$AH$23</definedName>
    <definedName name="TMGO">#N/A</definedName>
    <definedName name="TOWEO">#REF!</definedName>
    <definedName name="TRADE3">[1]Trade!#REF!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[43]M!#REF!</definedName>
    <definedName name="TTTTTTTTTTTT">[18]!TTTTTTTTTTTT</definedName>
    <definedName name="TXG_D">#N/A</definedName>
    <definedName name="TXGO">#N/A</definedName>
    <definedName name="u163lnulcm_x_et.m">[27]monthly!#REF!</definedName>
    <definedName name="ULC_CZ">[17]REER!$BU$144:$BU$206</definedName>
    <definedName name="ULC_PART">[17]REER!$BR$144:$BR$206</definedName>
    <definedName name="Universities">#REF!</definedName>
    <definedName name="UPee_2">[23]Graf14_Graf15!#REF!</definedName>
    <definedName name="UPer_2">[23]Graf14_Graf15!#REF!</definedName>
    <definedName name="Uruguay">'[56]PDR vulnerability table'!$A$3:$E$65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[18]!UUUUUUUUUUU</definedName>
    <definedName name="ValidationList">#REF!</definedName>
    <definedName name="VeljavniProracun">#REF!</definedName>
    <definedName name="Venezuela">#REF!</definedName>
    <definedName name="vv" hidden="1">{"Tab1",#N/A,FALSE,"P";"Tab2",#N/A,FALSE,"P"}</definedName>
    <definedName name="vvv" hidden="1">{"Tab1",#N/A,FALSE,"P";"Tab2",#N/A,FALSE,"P"}</definedName>
    <definedName name="we11pcpi.m">[27]monthly!#REF!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hidden="1">{"Tab1",#N/A,FALSE,"P";"Tab2",#N/A,FALSE,"P"}</definedName>
    <definedName name="wrn.Ques._.1." hidden="1">{"Ques 1",#N/A,FALSE,"NWEO138"}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WEO." hidden="1">{"WEO",#N/A,FALSE,"T"}</definedName>
    <definedName name="ww" hidden="1">[43]M!#REF!</definedName>
    <definedName name="www" hidden="1">{"Riqfin97",#N/A,FALSE,"Tran";"Riqfinpro",#N/A,FALSE,"Tran"}</definedName>
    <definedName name="XR">[17]REER!$AT$140:$BA$199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hidden="1">{"Riqfin97",#N/A,FALSE,"Tran";"Riqfinpro",#N/A,FALSE,"Tran"}</definedName>
    <definedName name="year">[23]Graf14_Graf15!#REF!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1D44FD83_577F_412D_85CC_4CD8A3A1C2A3_.wvu.Cols" localSheetId="12" hidden="1">ESA2010_source!$C:$C</definedName>
    <definedName name="Z_95224721_0485_11D4_BFD1_00508B5F4DA4_.wvu.Cols" hidden="1">#REF!</definedName>
    <definedName name="zac_kles">[23]Graf14_Graf15!#REF!</definedName>
    <definedName name="zac_kles_2">[23]Graf14_Graf15!#REF!</definedName>
    <definedName name="ZPee_2">[23]Graf14_Graf15!#REF!</definedName>
    <definedName name="ZPer_2">[23]Graf14_Graf15!#REF!</definedName>
    <definedName name="zpiz">[34]ZPIZ!$A$1:$F$65536</definedName>
    <definedName name="zz" hidden="1">{"Tab1",#N/A,FALSE,"P";"Tab2",#N/A,FALSE,"P"}</definedName>
    <definedName name="zzzs">[34]ZZZS!$A$1:$E$65536</definedName>
  </definedNames>
  <calcPr calcId="152511"/>
</workbook>
</file>

<file path=xl/calcChain.xml><?xml version="1.0" encoding="utf-8"?>
<calcChain xmlns="http://schemas.openxmlformats.org/spreadsheetml/2006/main">
  <c r="E29" i="1" l="1"/>
  <c r="E28" i="1"/>
  <c r="E27" i="1"/>
  <c r="E26" i="1"/>
  <c r="H17" i="7" l="1"/>
  <c r="G15" i="7"/>
  <c r="H13" i="7"/>
  <c r="G13" i="7"/>
  <c r="G14" i="7" s="1"/>
  <c r="G17" i="7"/>
  <c r="F24" i="1" l="1"/>
  <c r="H14" i="7"/>
  <c r="G22" i="1" l="1"/>
  <c r="G27" i="1"/>
  <c r="N10" i="1"/>
  <c r="N12" i="1"/>
  <c r="F22" i="1"/>
  <c r="U10" i="1" l="1"/>
  <c r="M44" i="16" l="1"/>
  <c r="G12" i="1" l="1"/>
  <c r="G29" i="1"/>
  <c r="D23" i="1" l="1"/>
  <c r="E23" i="1"/>
  <c r="E24" i="1"/>
  <c r="F29" i="1"/>
  <c r="F27" i="1"/>
  <c r="D6" i="12" l="1"/>
  <c r="C6" i="12"/>
  <c r="D5" i="12"/>
  <c r="C5" i="12"/>
  <c r="H4" i="12"/>
  <c r="G4" i="12"/>
  <c r="F4" i="12"/>
  <c r="E4" i="12"/>
  <c r="F8" i="3"/>
  <c r="C7" i="12" s="1"/>
  <c r="F13" i="7"/>
  <c r="G8" i="3"/>
  <c r="G9" i="3" s="1"/>
  <c r="D24" i="3" s="1"/>
  <c r="F14" i="7"/>
  <c r="H15" i="7"/>
  <c r="G24" i="1"/>
  <c r="H16" i="7"/>
  <c r="G23" i="1" s="1"/>
  <c r="G16" i="7"/>
  <c r="F23" i="1" s="1"/>
  <c r="D7" i="12" l="1"/>
  <c r="G25" i="1" l="1"/>
  <c r="D36" i="8"/>
  <c r="C36" i="8"/>
  <c r="F25" i="1" s="1"/>
  <c r="C29" i="8"/>
  <c r="D29" i="8"/>
  <c r="J4" i="15" l="1"/>
  <c r="J5" i="15"/>
  <c r="G14" i="1" s="1"/>
  <c r="J8" i="15"/>
  <c r="J9" i="15" s="1"/>
  <c r="G17" i="1" s="1"/>
  <c r="G10" i="1"/>
  <c r="G13" i="1"/>
  <c r="G15" i="1"/>
  <c r="G20" i="1" l="1"/>
  <c r="G26" i="1" s="1"/>
  <c r="G16" i="1"/>
  <c r="D35" i="3"/>
  <c r="D34" i="3"/>
  <c r="G6" i="3" l="1"/>
  <c r="D36" i="3"/>
  <c r="L24" i="16"/>
  <c r="K24" i="16"/>
  <c r="M24" i="16"/>
  <c r="I24" i="16"/>
  <c r="J24" i="16"/>
  <c r="K30" i="16"/>
  <c r="I30" i="16"/>
  <c r="J30" i="16"/>
  <c r="L30" i="16"/>
  <c r="M30" i="16"/>
  <c r="K37" i="16"/>
  <c r="I37" i="16"/>
  <c r="L37" i="16"/>
  <c r="M37" i="16"/>
  <c r="I44" i="16"/>
  <c r="K44" i="16"/>
  <c r="L44" i="16"/>
  <c r="J44" i="16"/>
  <c r="I81" i="16"/>
  <c r="J81" i="16"/>
  <c r="M81" i="16"/>
  <c r="K81" i="16"/>
  <c r="L81" i="16"/>
  <c r="M42" i="16" l="1"/>
  <c r="M43" i="16" s="1"/>
  <c r="I42" i="16"/>
  <c r="I43" i="16" s="1"/>
  <c r="J42" i="16"/>
  <c r="J43" i="16" s="1"/>
  <c r="K42" i="16"/>
  <c r="K43" i="16" s="1"/>
  <c r="J37" i="16"/>
  <c r="L42" i="16"/>
  <c r="L43" i="16" s="1"/>
  <c r="D37" i="3" l="1"/>
  <c r="D8" i="12"/>
  <c r="D6" i="2"/>
  <c r="M9" i="16" l="1"/>
  <c r="M7" i="16" l="1"/>
  <c r="M89" i="16" s="1"/>
  <c r="M8" i="16" l="1"/>
  <c r="E12" i="1"/>
  <c r="E13" i="1"/>
  <c r="E14" i="1"/>
  <c r="E15" i="1"/>
  <c r="E35" i="3" l="1"/>
  <c r="B9" i="5" l="1"/>
  <c r="F19" i="6" l="1"/>
  <c r="E19" i="6"/>
  <c r="E36" i="3" l="1"/>
  <c r="D22" i="5"/>
  <c r="D9" i="5" s="1"/>
  <c r="D8" i="5" s="1"/>
  <c r="F26" i="6"/>
  <c r="E10" i="6" s="1"/>
  <c r="F20" i="6"/>
  <c r="F10" i="1"/>
  <c r="E11" i="6" l="1"/>
  <c r="C18" i="15" l="1"/>
  <c r="C15" i="15"/>
  <c r="E10" i="1" l="1"/>
  <c r="E43" i="16" l="1"/>
  <c r="F43" i="16"/>
  <c r="G43" i="16"/>
  <c r="H43" i="16"/>
  <c r="D43" i="16"/>
  <c r="E8" i="16"/>
  <c r="F8" i="16"/>
  <c r="G8" i="16"/>
  <c r="H8" i="16"/>
  <c r="D8" i="16"/>
  <c r="H86" i="16"/>
  <c r="G86" i="16"/>
  <c r="F86" i="16"/>
  <c r="E86" i="16"/>
  <c r="D86" i="16"/>
  <c r="G82" i="16"/>
  <c r="F82" i="16"/>
  <c r="E82" i="16"/>
  <c r="E81" i="16" s="1"/>
  <c r="D82" i="16"/>
  <c r="H81" i="16"/>
  <c r="G81" i="16"/>
  <c r="F81" i="16"/>
  <c r="D81" i="16"/>
  <c r="H79" i="16"/>
  <c r="H74" i="16"/>
  <c r="G74" i="16"/>
  <c r="F74" i="16"/>
  <c r="E74" i="16"/>
  <c r="D74" i="16"/>
  <c r="H67" i="16"/>
  <c r="G67" i="16"/>
  <c r="F67" i="16"/>
  <c r="E67" i="16"/>
  <c r="D67" i="16"/>
  <c r="G57" i="16"/>
  <c r="F57" i="16"/>
  <c r="H56" i="16"/>
  <c r="G56" i="16"/>
  <c r="F56" i="16"/>
  <c r="E56" i="16"/>
  <c r="D56" i="16"/>
  <c r="H55" i="16"/>
  <c r="G55" i="16"/>
  <c r="F55" i="16"/>
  <c r="E55" i="16"/>
  <c r="D55" i="16"/>
  <c r="H54" i="16"/>
  <c r="G54" i="16"/>
  <c r="F54" i="16"/>
  <c r="E54" i="16"/>
  <c r="D54" i="16"/>
  <c r="H53" i="16"/>
  <c r="H57" i="16" s="1"/>
  <c r="G53" i="16"/>
  <c r="F53" i="16"/>
  <c r="E53" i="16"/>
  <c r="E57" i="16" s="1"/>
  <c r="D53" i="16"/>
  <c r="D57" i="16" s="1"/>
  <c r="H49" i="16"/>
  <c r="H44" i="16" s="1"/>
  <c r="H42" i="16" s="1"/>
  <c r="G49" i="16"/>
  <c r="F49" i="16"/>
  <c r="E49" i="16"/>
  <c r="E44" i="16" s="1"/>
  <c r="D49" i="16"/>
  <c r="D44" i="16" s="1"/>
  <c r="D42" i="16" s="1"/>
  <c r="G44" i="16"/>
  <c r="G42" i="16" s="1"/>
  <c r="F44" i="16"/>
  <c r="F42" i="16" s="1"/>
  <c r="H41" i="16"/>
  <c r="G41" i="16"/>
  <c r="G37" i="16" s="1"/>
  <c r="E41" i="16"/>
  <c r="D41" i="16"/>
  <c r="D37" i="16" s="1"/>
  <c r="H38" i="16"/>
  <c r="G38" i="16"/>
  <c r="F38" i="16"/>
  <c r="E38" i="16"/>
  <c r="D38" i="16"/>
  <c r="H37" i="16"/>
  <c r="F37" i="16"/>
  <c r="E37" i="16"/>
  <c r="H31" i="16"/>
  <c r="H30" i="16" s="1"/>
  <c r="G31" i="16"/>
  <c r="F31" i="16"/>
  <c r="F30" i="16" s="1"/>
  <c r="E31" i="16"/>
  <c r="D31" i="16"/>
  <c r="D30" i="16" s="1"/>
  <c r="G30" i="16"/>
  <c r="E30" i="16"/>
  <c r="H28" i="16"/>
  <c r="G28" i="16"/>
  <c r="F28" i="16"/>
  <c r="E28" i="16"/>
  <c r="D28" i="16"/>
  <c r="H26" i="16"/>
  <c r="H25" i="16" s="1"/>
  <c r="H24" i="16" s="1"/>
  <c r="H7" i="16" s="1"/>
  <c r="G26" i="16"/>
  <c r="F26" i="16"/>
  <c r="F25" i="16" s="1"/>
  <c r="F24" i="16" s="1"/>
  <c r="F7" i="16" s="1"/>
  <c r="E26" i="16"/>
  <c r="D26" i="16"/>
  <c r="D25" i="16" s="1"/>
  <c r="D24" i="16" s="1"/>
  <c r="D7" i="16" s="1"/>
  <c r="G25" i="16"/>
  <c r="G24" i="16" s="1"/>
  <c r="E25" i="16"/>
  <c r="E24" i="16" s="1"/>
  <c r="E7" i="16" s="1"/>
  <c r="H21" i="16"/>
  <c r="D18" i="16"/>
  <c r="D17" i="16"/>
  <c r="H12" i="16"/>
  <c r="G12" i="16"/>
  <c r="F12" i="16"/>
  <c r="E12" i="16"/>
  <c r="D12" i="16"/>
  <c r="L9" i="16"/>
  <c r="L7" i="16" s="1"/>
  <c r="K9" i="16"/>
  <c r="K7" i="16" s="1"/>
  <c r="J9" i="16"/>
  <c r="J7" i="16" s="1"/>
  <c r="I9" i="16"/>
  <c r="I7" i="16" s="1"/>
  <c r="H9" i="16"/>
  <c r="G9" i="16"/>
  <c r="G7" i="16" s="1"/>
  <c r="F9" i="16"/>
  <c r="E9" i="16"/>
  <c r="D9" i="16"/>
  <c r="I8" i="16" l="1"/>
  <c r="I88" i="16"/>
  <c r="I89" i="16" s="1"/>
  <c r="L8" i="16"/>
  <c r="L88" i="16"/>
  <c r="L89" i="16" s="1"/>
  <c r="J8" i="16"/>
  <c r="J88" i="16"/>
  <c r="J89" i="16" s="1"/>
  <c r="K8" i="16"/>
  <c r="K88" i="16"/>
  <c r="K89" i="16" s="1"/>
  <c r="E42" i="16"/>
  <c r="C20" i="6" l="1"/>
  <c r="C15" i="1" l="1"/>
  <c r="D15" i="1"/>
  <c r="F15" i="1"/>
  <c r="C26" i="6" l="1"/>
  <c r="D19" i="6"/>
  <c r="D20" i="6" s="1"/>
  <c r="E26" i="6" l="1"/>
  <c r="D26" i="6"/>
  <c r="C5" i="15" l="1"/>
  <c r="D5" i="15"/>
  <c r="E5" i="15"/>
  <c r="F5" i="15"/>
  <c r="C14" i="1" s="1"/>
  <c r="G5" i="15"/>
  <c r="D14" i="1" s="1"/>
  <c r="I5" i="15"/>
  <c r="F14" i="1" s="1"/>
  <c r="D4" i="15"/>
  <c r="D8" i="15" s="1"/>
  <c r="E4" i="15"/>
  <c r="E8" i="15" s="1"/>
  <c r="F4" i="15"/>
  <c r="F8" i="15" s="1"/>
  <c r="G4" i="15"/>
  <c r="G8" i="15" s="1"/>
  <c r="D16" i="1" s="1"/>
  <c r="H4" i="15"/>
  <c r="H8" i="15" s="1"/>
  <c r="E16" i="1" s="1"/>
  <c r="I4" i="15"/>
  <c r="I8" i="15" s="1"/>
  <c r="F16" i="1" s="1"/>
  <c r="C4" i="15"/>
  <c r="C8" i="15" s="1"/>
  <c r="H9" i="15" l="1"/>
  <c r="E17" i="1" s="1"/>
  <c r="E20" i="1" s="1"/>
  <c r="G9" i="15"/>
  <c r="D17" i="1" s="1"/>
  <c r="F9" i="15"/>
  <c r="C17" i="1" s="1"/>
  <c r="C16" i="1"/>
  <c r="I9" i="15"/>
  <c r="F17" i="1" s="1"/>
  <c r="D13" i="1"/>
  <c r="F13" i="1"/>
  <c r="C13" i="1"/>
  <c r="D10" i="1"/>
  <c r="C10" i="1"/>
  <c r="G88" i="16" l="1"/>
  <c r="G89" i="16" s="1"/>
  <c r="C12" i="1"/>
  <c r="C20" i="1" s="1"/>
  <c r="H88" i="16"/>
  <c r="H89" i="16" s="1"/>
  <c r="C6" i="3"/>
  <c r="F88" i="16" l="1"/>
  <c r="F89" i="16" s="1"/>
  <c r="F12" i="1"/>
  <c r="F6" i="3"/>
  <c r="E34" i="3" s="1"/>
  <c r="E88" i="16"/>
  <c r="E89" i="16" s="1"/>
  <c r="E6" i="3"/>
  <c r="D6" i="3"/>
  <c r="D12" i="1"/>
  <c r="D20" i="1" s="1"/>
  <c r="D88" i="16"/>
  <c r="D89" i="16" s="1"/>
  <c r="D21" i="1" l="1"/>
  <c r="E21" i="1"/>
  <c r="F20" i="1"/>
  <c r="D13" i="7"/>
  <c r="D14" i="7" s="1"/>
  <c r="E20" i="6"/>
  <c r="G28" i="1" l="1"/>
  <c r="G32" i="1" s="1"/>
  <c r="G21" i="1"/>
  <c r="F26" i="1"/>
  <c r="F28" i="1" s="1"/>
  <c r="F21" i="1"/>
  <c r="E13" i="7"/>
  <c r="E14" i="7" s="1"/>
  <c r="N7" i="1" l="1"/>
  <c r="N9" i="1" s="1"/>
  <c r="N11" i="1" s="1"/>
  <c r="H6" i="12"/>
  <c r="G6" i="12"/>
  <c r="C8" i="3" l="1"/>
  <c r="C9" i="3" l="1"/>
  <c r="D8" i="3"/>
  <c r="E8" i="3"/>
  <c r="G5" i="12"/>
  <c r="H5" i="12"/>
  <c r="D9" i="3" l="1"/>
  <c r="F9" i="3"/>
  <c r="E9" i="3"/>
  <c r="G7" i="12"/>
  <c r="H7" i="12"/>
  <c r="C8" i="12" l="1"/>
  <c r="G8" i="12" s="1"/>
  <c r="Z6" i="3"/>
  <c r="C18" i="3"/>
  <c r="G10" i="3"/>
  <c r="D9" i="12" s="1"/>
  <c r="E24" i="3"/>
  <c r="E37" i="3"/>
  <c r="E10" i="3"/>
  <c r="F10" i="3"/>
  <c r="C9" i="12" s="1"/>
  <c r="H8" i="12"/>
  <c r="D10" i="3"/>
  <c r="G9" i="12" l="1"/>
  <c r="D19" i="3"/>
  <c r="AA6" i="3" s="1"/>
  <c r="AE6" i="3"/>
  <c r="D7" i="2"/>
  <c r="H9" i="12"/>
  <c r="G19" i="3"/>
  <c r="F19" i="3"/>
  <c r="G36" i="1" s="1"/>
  <c r="G30" i="1" s="1"/>
  <c r="G31" i="1" s="1"/>
  <c r="D48" i="1" s="1"/>
  <c r="E19" i="3"/>
  <c r="F36" i="1" s="1"/>
  <c r="F30" i="1" s="1"/>
  <c r="F31" i="1" s="1"/>
  <c r="AB6" i="3" l="1"/>
  <c r="AC6" i="3" s="1"/>
  <c r="AD6" i="3" s="1"/>
  <c r="AD7" i="3" s="1"/>
  <c r="D18" i="3"/>
  <c r="F11" i="3" s="1"/>
  <c r="F12" i="3" s="1"/>
  <c r="Z7" i="3"/>
  <c r="AA7" i="3"/>
  <c r="D14" i="2"/>
  <c r="G33" i="1"/>
  <c r="E48" i="1"/>
  <c r="AC7" i="3" l="1"/>
  <c r="AB7" i="3"/>
  <c r="E18" i="3"/>
  <c r="F18" i="3" s="1"/>
  <c r="D7" i="5"/>
  <c r="D10" i="5" s="1"/>
  <c r="G11" i="3" l="1"/>
  <c r="G12" i="3" s="1"/>
  <c r="F32" i="1"/>
  <c r="G34" i="1" s="1"/>
  <c r="D11" i="5"/>
  <c r="B47" i="3" l="1"/>
  <c r="D25" i="3"/>
  <c r="E25" i="3" s="1"/>
  <c r="F34" i="1"/>
  <c r="F35" i="1" s="1"/>
  <c r="D8" i="2"/>
  <c r="D10" i="2" s="1"/>
  <c r="D11" i="2" s="1"/>
  <c r="F33" i="1"/>
  <c r="E8" i="6"/>
  <c r="E12" i="6" s="1"/>
  <c r="U7" i="1" l="1"/>
  <c r="U9" i="1" s="1"/>
  <c r="U11" i="1" s="1"/>
  <c r="D49" i="1"/>
  <c r="E49" i="1" s="1"/>
  <c r="G35" i="1"/>
  <c r="B43" i="1"/>
  <c r="D15" i="2"/>
  <c r="D16" i="2" s="1"/>
  <c r="B17" i="2" s="1"/>
  <c r="B12" i="2"/>
  <c r="E13" i="6"/>
  <c r="C18" i="2" l="1"/>
  <c r="B21" i="2" s="1"/>
</calcChain>
</file>

<file path=xl/comments1.xml><?xml version="1.0" encoding="utf-8"?>
<comments xmlns="http://schemas.openxmlformats.org/spreadsheetml/2006/main">
  <authors>
    <author>Autor</author>
  </authors>
  <commentList>
    <comment ref="H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2011</t>
        </r>
      </text>
    </comment>
    <comment ref="I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2012</t>
        </r>
      </text>
    </comment>
    <comment ref="J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2013</t>
        </r>
      </text>
    </comment>
    <comment ref="K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2014</t>
        </r>
      </text>
    </comment>
    <comment ref="L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2015</t>
        </r>
      </text>
    </comment>
    <comment ref="K38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198,509 neuznanie transakcie ŠFRB</t>
        </r>
      </text>
    </comment>
    <comment ref="D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165,970 odpočítané dotácie, ktoré sa teraz konsolidujú ked su ZSSK v sektore</t>
        </r>
      </text>
    </comment>
    <comment ref="E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270,339 odpočítané dotácie, ktoré sa teraz konsolidujú ked su ZSSK v sektore
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228,114 odpočítané dotácie, ktoré sa teraz konsolidujú ked su ZSSK v sektore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199,498 odpočítané dotácie, ktoré sa teraz konsolidujú ked su ZSR v sektore;
105,301 je uprava aby sme sedeli na Albertov cash polozka RK644 po odpocitani EU;
67,516 odpočítané dotácie, ktoré sa teraz konsolidujú ked su ZSSK v sektore;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345,988 odpočítané dotácie, ktoré sa teraz konsolidujú ked su ZSR v sektore;
174,99 je uprava aby sme sedeli na Albertov cash polozka RK644 po odpocitani EU;
197,342 odpočítané dotácie, ktoré sa teraz konsolidujú ked su ZSSK v sektore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333,753 odpočítané dotácie, ktoré sa teraz konsolidujú ked su ZSR v sektore;
197,559 odpočítané dotácie, ktoré sa teraz konsolidujú ked su ZSSK v sektore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197,559 odpočítané dotácie, ktoré sa teraz konsolidujú ked su ZSSK v sektore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D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165,970 odpočítané dotácie, ktoré sa teraz konsolidujú ked su ZSSK v sektore</t>
        </r>
      </text>
    </comment>
    <comment ref="E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270,339 odpočítané dotácie, ktoré sa teraz konsolidujú ked su ZSSK v sektore</t>
        </r>
      </text>
    </comment>
    <comment ref="F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228,114 odpočítané dotácie, ktoré sa teraz konsolidujú ked su ZSSK v sektore</t>
        </r>
      </text>
    </comment>
    <comment ref="G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199,498 odpočítané dotácie, ktoré sa teraz konsolidujú ked su ZSR v sektore (p.Holikova od Mikulika kl.2323);
105,301 je uprava aby sme sedeli na Albertov cash polozka RK644 po odpocitani EU;
67,516 odpočítané dotácie, ktoré sa teraz konsolidujú ked su ZSSK v sektore</t>
        </r>
      </text>
    </comment>
    <comment ref="H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345,988 odpočítané dotácie, ktoré sa teraz konsolidujú ked su ZSR v sektore (p.Holikova od Mikulika kl.2323);
174,99 je uprava aby sme sedeli na Albertov cash polozka RK644 po odpocitani EU;
197,342 odpočítané dotácie, ktoré sa teraz konsolidujú ked su ZSSK v sektore</t>
        </r>
      </text>
    </comment>
    <comment ref="I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333,753 odpočítané dotácie, ktoré sa teraz konsolidujú ked su ZSR v sektore (p.Holikova od Mikulika kl.2323); 
197,559 odpočítané dotácie, ktoré sa teraz konsolidujú ked su ZSSK v sektore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197,559 odpočítané dotácie, ktoré sa teraz konsolidujú ked su ZSSK v sektore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D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</t>
        </r>
      </text>
    </comment>
    <comment ref="E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</t>
        </r>
      </text>
    </comment>
    <comment ref="F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</t>
        </r>
      </text>
    </comment>
    <comment ref="H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</t>
        </r>
      </text>
    </comment>
    <comment ref="I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H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+19,55 očistené o časové rozlíšenie odvodu do EÚ</t>
        </r>
      </text>
    </comment>
    <comment ref="I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-19,55 očistené o časové rozlíšenie odvodu do EÚ</t>
        </r>
      </text>
    </comment>
    <comment ref="J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-87,444 očistené o časové rozlíšenie odvodu do EÚ, dotazník tab.6</t>
        </r>
      </text>
    </comment>
    <comment ref="K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38,025 očistené o časové rozlíšenie odvodu do EÚ, dotazník tab.6</t>
        </r>
      </text>
    </comment>
    <comment ref="L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49,4 očistené o časové rozlíšenie odvodu do EÚ, dotazník tab.6</t>
        </r>
      </text>
    </comment>
    <comment ref="L9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Notifikácia Eurostat
</t>
        </r>
      </text>
    </comment>
  </commentList>
</comments>
</file>

<file path=xl/sharedStrings.xml><?xml version="1.0" encoding="utf-8"?>
<sst xmlns="http://schemas.openxmlformats.org/spreadsheetml/2006/main" count="528" uniqueCount="443">
  <si>
    <t xml:space="preserve"> - Medziročná zmena spolufinancovania z dôvodu čerpania EŠIF</t>
  </si>
  <si>
    <t>% HDP</t>
  </si>
  <si>
    <t>Stanovená úroveň strednodobého cieľu (MTO) v oblasti štrukturálneho salda</t>
  </si>
  <si>
    <t>Dosiahnuté MTO?</t>
  </si>
  <si>
    <t xml:space="preserve">Vývoj štrukturálneho salda oproti referenčnej hodnote </t>
  </si>
  <si>
    <t>A.</t>
  </si>
  <si>
    <t xml:space="preserve">Výdavkové pravidlo </t>
  </si>
  <si>
    <t>Odchýlka od Výdavkového pravidla (jednoročný horizont)</t>
  </si>
  <si>
    <t>B.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</si>
  <si>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</si>
  <si>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</si>
  <si>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</si>
  <si>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</si>
  <si>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</si>
  <si>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mil. eur</t>
  </si>
  <si>
    <t>1. Príjmy verejnej správy</t>
  </si>
  <si>
    <t>Daňové príjmy</t>
  </si>
  <si>
    <t>Sociálne a zdravotné odvody</t>
  </si>
  <si>
    <t>Nedaňové príjmy</t>
  </si>
  <si>
    <t>2. Výdavky verejnej správy</t>
  </si>
  <si>
    <t>Pozn.: ide o vplyvy na saldo VS, (+) znamená zlepšenie a (-) zhoršenie salda</t>
  </si>
  <si>
    <t>Zdroj: MF SR, ŠÚ SR</t>
  </si>
  <si>
    <t>Zdroj: MF SR</t>
  </si>
  <si>
    <t>Dodatočné faktory pri aplikácii celkového hodnotenia</t>
  </si>
  <si>
    <t xml:space="preserve">Celkové hodnotenie odchýlky od výdavkového pravidla v % HDP </t>
  </si>
  <si>
    <t>Splnenie výdavkového pravidla po zohľadnení dodatočných faktorov</t>
  </si>
  <si>
    <t xml:space="preserve"> - Medziročné zvýšenie efektivity výberu DPH (DRM)</t>
  </si>
  <si>
    <t xml:space="preserve"> - príjmy z predaja telekomunikačných licencií (digitálna dividenda)</t>
  </si>
  <si>
    <t xml:space="preserve"> - splácanie návratnej finančnej výpomoci Cargo (kapitálový transfer v 2009)</t>
  </si>
  <si>
    <t xml:space="preserve"> - rozdielne zaznamenanie príjmov DPH (skutočná akrualizácia)</t>
  </si>
  <si>
    <t xml:space="preserve"> - splácanie návratnej finančnej výpomoci Vodohospodárskej výstavbe (kapitálový transfer pred rokom 2002)</t>
  </si>
  <si>
    <t>-  jednorazové vyplatenie starobných dôchodkov silovým zložkám</t>
  </si>
  <si>
    <t>SPOLU - národná metodika</t>
  </si>
  <si>
    <t>v % HDP</t>
  </si>
  <si>
    <t>Popis</t>
  </si>
  <si>
    <t>Výdavkové pravidlo</t>
  </si>
  <si>
    <t>Štrukturálne saldo</t>
  </si>
  <si>
    <t>Národná metodika (1)</t>
  </si>
  <si>
    <t>Rozdiely (3=1-2)</t>
  </si>
  <si>
    <t>3. Jednorazové opatrenia</t>
  </si>
  <si>
    <t>4. Štrukturálne saldo</t>
  </si>
  <si>
    <t>p.m. Konsolidačné úsilie</t>
  </si>
  <si>
    <t>3. Spolu (1+2)</t>
  </si>
  <si>
    <t>THFK celkové (T200)</t>
  </si>
  <si>
    <t>EU spolu (sektor VS)</t>
  </si>
  <si>
    <t>EU kapitálové výdavky</t>
  </si>
  <si>
    <t>Vládne kapitálové výdavky</t>
  </si>
  <si>
    <t>Celkom (% HDP)</t>
  </si>
  <si>
    <t>Medziročný vplyv zmeny spolufinancovania</t>
  </si>
  <si>
    <t>Celkom  (% HDP)</t>
  </si>
  <si>
    <t>Ukazovateľ</t>
  </si>
  <si>
    <t>Skutočnosť</t>
  </si>
  <si>
    <r>
      <t>5</t>
    </r>
    <r>
      <rPr>
        <b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= 2 - 4</t>
    </r>
  </si>
  <si>
    <t>Objem spolufinancovania</t>
  </si>
  <si>
    <t>Bežné výdavky</t>
  </si>
  <si>
    <t>GRAF 1: Vývoj štrukturálneho salda oproti požadovanej trajektórii (% HDP)</t>
  </si>
  <si>
    <t>TABUĽKA 7: Celkové hodnotenie výdavkového pravidla po zohľadnení dodatočných faktorov (% HDP)</t>
  </si>
  <si>
    <t>Výdavky z EÚ fondov</t>
  </si>
  <si>
    <t>Fiškálny kompakt vs EK metodika</t>
  </si>
  <si>
    <t>Jednorazové opatrenia</t>
  </si>
  <si>
    <t>Diskrečné príjmové opatrenia</t>
  </si>
  <si>
    <t>Bilancia príjmov a výdavkov verejnej správy (ESA 2010, v mil. eur) / General Government Budget (ESA2010, EUR million)</t>
  </si>
  <si>
    <t xml:space="preserve">
Skutočnosť</t>
  </si>
  <si>
    <t>Outturn</t>
  </si>
  <si>
    <t>Príjmy spolu</t>
  </si>
  <si>
    <t>Total revenue</t>
  </si>
  <si>
    <t>in % of GDP</t>
  </si>
  <si>
    <t>Tax revenue</t>
  </si>
  <si>
    <t>D.2+D.5+D.91</t>
  </si>
  <si>
    <t>Dane z produkcie a dovozu</t>
  </si>
  <si>
    <t>Taxes on Production and Imports</t>
  </si>
  <si>
    <t>D.2</t>
  </si>
  <si>
    <t xml:space="preserve"> - Daň z pridanej hodnoty (spolu so zdrojmi EÚ)</t>
  </si>
  <si>
    <t xml:space="preserve"> - VAT (excl. VAT directed to the EU)</t>
  </si>
  <si>
    <t xml:space="preserve">D.211 </t>
  </si>
  <si>
    <t xml:space="preserve"> - Spotrebné dane</t>
  </si>
  <si>
    <t xml:space="preserve"> - Excise taxes</t>
  </si>
  <si>
    <t xml:space="preserve">D.2122C+D.214A </t>
  </si>
  <si>
    <t xml:space="preserve"> - Dovozné clo</t>
  </si>
  <si>
    <t xml:space="preserve"> - Import duty</t>
  </si>
  <si>
    <t xml:space="preserve">D.2121 </t>
  </si>
  <si>
    <t xml:space="preserve"> - Dane z majetku a iné</t>
  </si>
  <si>
    <t xml:space="preserve"> - Taxes on Land, Buildings and Other Structures</t>
  </si>
  <si>
    <t xml:space="preserve">D.29A </t>
  </si>
  <si>
    <t>Bežné dane z dôchodkov, majetku</t>
  </si>
  <si>
    <t>Current Taxes on Income, Wealth etc.</t>
  </si>
  <si>
    <t>D.5</t>
  </si>
  <si>
    <t xml:space="preserve"> - Daň z príjmov fyzických osôb</t>
  </si>
  <si>
    <t xml:space="preserve"> - PIT</t>
  </si>
  <si>
    <t xml:space="preserve">D.51A </t>
  </si>
  <si>
    <t xml:space="preserve"> - zo závislej činnosti</t>
  </si>
  <si>
    <t xml:space="preserve"> - from employment</t>
  </si>
  <si>
    <t xml:space="preserve"> - z podnikania a inej samostatnej zár. činnosti</t>
  </si>
  <si>
    <t xml:space="preserve"> - from business and other independent activity</t>
  </si>
  <si>
    <t xml:space="preserve"> - Daň z príjmov právnických osôb</t>
  </si>
  <si>
    <t xml:space="preserve"> - CIT</t>
  </si>
  <si>
    <t xml:space="preserve">D.51B </t>
  </si>
  <si>
    <t xml:space="preserve"> - Daň z príjmov vyberaná zrážkou - rozp. klasif.</t>
  </si>
  <si>
    <t xml:space="preserve"> - Withholding Tax - budgetary classification</t>
  </si>
  <si>
    <t>D.51E</t>
  </si>
  <si>
    <t xml:space="preserve"> - Daň z príjmov - emisie</t>
  </si>
  <si>
    <t xml:space="preserve"> - Income Tax - emissions</t>
  </si>
  <si>
    <t xml:space="preserve"> - Property Taxes and Others</t>
  </si>
  <si>
    <t>D.59A</t>
  </si>
  <si>
    <t>Dane z kapitálu</t>
  </si>
  <si>
    <t>Capital taxes</t>
  </si>
  <si>
    <t>D.91</t>
  </si>
  <si>
    <t>Príspevky na sociálne zabezpečenie</t>
  </si>
  <si>
    <t>Social Security Contributions (SSC)</t>
  </si>
  <si>
    <t>D.61</t>
  </si>
  <si>
    <t>Skutočné príspevky na sociálne zabezpečenie</t>
  </si>
  <si>
    <t>Actual Social Security Contributions</t>
  </si>
  <si>
    <t>D.611</t>
  </si>
  <si>
    <t xml:space="preserve"> - Príspevky zamestnávateľov</t>
  </si>
  <si>
    <t xml:space="preserve"> - Employers</t>
  </si>
  <si>
    <t xml:space="preserve">D.6111 </t>
  </si>
  <si>
    <t xml:space="preserve"> - Príspevky zamestnancov</t>
  </si>
  <si>
    <t xml:space="preserve"> - Employees</t>
  </si>
  <si>
    <t xml:space="preserve">D.6112 </t>
  </si>
  <si>
    <t xml:space="preserve"> - Príspevky SZČO a nepracujúcich osôb</t>
  </si>
  <si>
    <t xml:space="preserve"> - Individuals - enterpreneurs and inactive persons</t>
  </si>
  <si>
    <t xml:space="preserve">D.6113 </t>
  </si>
  <si>
    <t>Imputované príspevky na sociálne zabezpečenie</t>
  </si>
  <si>
    <t>Imputed SSC</t>
  </si>
  <si>
    <t>D.612</t>
  </si>
  <si>
    <t>Nontax revenue</t>
  </si>
  <si>
    <t>P.11 + P.12 + P.131 + D.4</t>
  </si>
  <si>
    <t>Tržby</t>
  </si>
  <si>
    <t>Sales</t>
  </si>
  <si>
    <t>P.11 + P.12 + P.131</t>
  </si>
  <si>
    <t xml:space="preserve"> - Trhová produkcia + Produkcia pre vlastné konečné použitie</t>
  </si>
  <si>
    <t xml:space="preserve"> - Market output + Output for own final use</t>
  </si>
  <si>
    <t>P.11+P.12</t>
  </si>
  <si>
    <t xml:space="preserve"> - Platby za ostatnú netrhovú produkciu</t>
  </si>
  <si>
    <t xml:space="preserve"> - Payments for other non-market output</t>
  </si>
  <si>
    <t>P.131</t>
  </si>
  <si>
    <t>Dôchodky z majetku, z ktorých</t>
  </si>
  <si>
    <t>Property Income, of which</t>
  </si>
  <si>
    <t>D.4</t>
  </si>
  <si>
    <t xml:space="preserve"> - Dividendy</t>
  </si>
  <si>
    <t xml:space="preserve"> - Dividends</t>
  </si>
  <si>
    <t>D.421</t>
  </si>
  <si>
    <t xml:space="preserve"> - Úroky</t>
  </si>
  <si>
    <t xml:space="preserve"> - Interest</t>
  </si>
  <si>
    <t>D.41</t>
  </si>
  <si>
    <t>Granty a transfery</t>
  </si>
  <si>
    <t>Grants and transfers</t>
  </si>
  <si>
    <t>D.39+D.7+D.9</t>
  </si>
  <si>
    <t>z toho: z EÚ</t>
  </si>
  <si>
    <t>of which: EU</t>
  </si>
  <si>
    <t>Ostatné subvencie ma produkciu</t>
  </si>
  <si>
    <t>Other Subsidies on Production</t>
  </si>
  <si>
    <t>D.39</t>
  </si>
  <si>
    <t>Ostatné bežné transfery</t>
  </si>
  <si>
    <t>Other Current Transfers</t>
  </si>
  <si>
    <t>D.7</t>
  </si>
  <si>
    <t>Kapitálové transfery</t>
  </si>
  <si>
    <t>Capital Transfers</t>
  </si>
  <si>
    <t>D.9</t>
  </si>
  <si>
    <t>Výdavky spolu</t>
  </si>
  <si>
    <t>Total expenditure</t>
  </si>
  <si>
    <t>TE</t>
  </si>
  <si>
    <t>Current Expenditure</t>
  </si>
  <si>
    <t>D.1 + P.2 + D.29 + D.5 + D.3 +D.4 + D.6 + D.7</t>
  </si>
  <si>
    <t>Kompenzácie zamestnancov</t>
  </si>
  <si>
    <t>Compensation of employees</t>
  </si>
  <si>
    <t>D.1</t>
  </si>
  <si>
    <t xml:space="preserve"> - Mzdy a platy</t>
  </si>
  <si>
    <t xml:space="preserve"> - Wages and salaries</t>
  </si>
  <si>
    <t xml:space="preserve">D.11 </t>
  </si>
  <si>
    <t xml:space="preserve"> - Sociálne príspevky zamestnávateľov</t>
  </si>
  <si>
    <t xml:space="preserve"> - Employers' social security contributions</t>
  </si>
  <si>
    <t xml:space="preserve">D.12 </t>
  </si>
  <si>
    <t>Medzispotreba</t>
  </si>
  <si>
    <t>Intermediate Consumption</t>
  </si>
  <si>
    <t>P.2</t>
  </si>
  <si>
    <t>Dane</t>
  </si>
  <si>
    <t>Taxes</t>
  </si>
  <si>
    <t>D.29+D.5</t>
  </si>
  <si>
    <t>Iné dane z produkcie</t>
  </si>
  <si>
    <t>Other taxes on production</t>
  </si>
  <si>
    <t>D.29</t>
  </si>
  <si>
    <t>Bežné dane z majetku, atď.</t>
  </si>
  <si>
    <t>Current taxes on income, wealth etc.</t>
  </si>
  <si>
    <t>Subvencie</t>
  </si>
  <si>
    <t>Subsidies</t>
  </si>
  <si>
    <t>D.3</t>
  </si>
  <si>
    <t xml:space="preserve"> - Dotácie do poľnohospodárstva</t>
  </si>
  <si>
    <t xml:space="preserve"> - Agricultural Subsidies</t>
  </si>
  <si>
    <t xml:space="preserve"> - Dotácie do dopravy</t>
  </si>
  <si>
    <t xml:space="preserve"> - Transport Subsidies</t>
  </si>
  <si>
    <t xml:space="preserve"> - železničná doprava</t>
  </si>
  <si>
    <t xml:space="preserve"> - Railway Transport</t>
  </si>
  <si>
    <t xml:space="preserve"> - cestná doprava</t>
  </si>
  <si>
    <t xml:space="preserve"> - Bus transport</t>
  </si>
  <si>
    <t xml:space="preserve"> - Ostatné</t>
  </si>
  <si>
    <t xml:space="preserve"> - Other</t>
  </si>
  <si>
    <t>Dôchodky z majetku</t>
  </si>
  <si>
    <t>Property Income</t>
  </si>
  <si>
    <t>Úrokové náklady</t>
  </si>
  <si>
    <t>Ostatné dôchodky z majetku</t>
  </si>
  <si>
    <t xml:space="preserve"> - Other Property Income</t>
  </si>
  <si>
    <t>D.42-45</t>
  </si>
  <si>
    <t>Celkové sociálne transfery</t>
  </si>
  <si>
    <t>Total Social Transfers</t>
  </si>
  <si>
    <t>D.6</t>
  </si>
  <si>
    <t xml:space="preserve"> - Sociálne dávky okrem naturálnych soc. transferov</t>
  </si>
  <si>
    <t xml:space="preserve"> - Sociálne benefits other than in kind</t>
  </si>
  <si>
    <t>D.62</t>
  </si>
  <si>
    <t xml:space="preserve"> - Aktívne opatrenia trhu práce</t>
  </si>
  <si>
    <t xml:space="preserve"> - Active Labor Market Measures</t>
  </si>
  <si>
    <t xml:space="preserve"> - Nemocenské dávky</t>
  </si>
  <si>
    <t xml:space="preserve"> - Sickness benefits</t>
  </si>
  <si>
    <t xml:space="preserve"> - Dôchodkové dávky zo starobného a invalidného poistenia</t>
  </si>
  <si>
    <t xml:space="preserve"> - Retirement and disability pensions</t>
  </si>
  <si>
    <t xml:space="preserve"> - Dávky v nezamestnanosti</t>
  </si>
  <si>
    <t xml:space="preserve"> - Unemployment benefits</t>
  </si>
  <si>
    <t xml:space="preserve"> - Štátne sociálne dávky a podpora</t>
  </si>
  <si>
    <t xml:space="preserve"> - State social allowances</t>
  </si>
  <si>
    <t xml:space="preserve"> - na prídavok na dieťa</t>
  </si>
  <si>
    <t xml:space="preserve"> - child allowance</t>
  </si>
  <si>
    <t xml:space="preserve"> - na príspevok pri narodení dieťaťa a prísp. rodičom</t>
  </si>
  <si>
    <t xml:space="preserve"> - child birth benefit</t>
  </si>
  <si>
    <t xml:space="preserve"> - na rodičovský príspevok</t>
  </si>
  <si>
    <t xml:space="preserve"> - parental allowance</t>
  </si>
  <si>
    <t xml:space="preserve"> - na dávku v hmotnej núdzi a príspevky k dávke</t>
  </si>
  <si>
    <t xml:space="preserve"> - material need allowance</t>
  </si>
  <si>
    <t xml:space="preserve"> - na peňažné príspevky na kompenzáciu</t>
  </si>
  <si>
    <t xml:space="preserve"> - monetary compensation of disability</t>
  </si>
  <si>
    <t xml:space="preserve"> - ostatné</t>
  </si>
  <si>
    <t xml:space="preserve"> - others</t>
  </si>
  <si>
    <t xml:space="preserve"> - Platené poistné za skupiny osôb ustanovené zákonom</t>
  </si>
  <si>
    <t xml:space="preserve"> - Insurance premiums for the specific groups of people based on the law </t>
  </si>
  <si>
    <t xml:space="preserve"> </t>
  </si>
  <si>
    <t xml:space="preserve"> - sociálne poistenie</t>
  </si>
  <si>
    <t xml:space="preserve"> - social insurance</t>
  </si>
  <si>
    <t xml:space="preserve"> - zdravotné poistenie</t>
  </si>
  <si>
    <t xml:space="preserve"> - health insurance</t>
  </si>
  <si>
    <t xml:space="preserve"> - Naturálne sociálne transfery (zdravotnícke zariadenia)</t>
  </si>
  <si>
    <t xml:space="preserve"> - Social transfers in kind (healthcare facilities)</t>
  </si>
  <si>
    <t>D.632</t>
  </si>
  <si>
    <t>Other current transfers</t>
  </si>
  <si>
    <t>z toho: Odvody do rozpočtu EÚ</t>
  </si>
  <si>
    <t>of which: EU contributions (excluding VAT own resource)</t>
  </si>
  <si>
    <t>z toho: 2% z daní na verejnoprospešný účel</t>
  </si>
  <si>
    <t>of which: 2% of taxes for publicly beneficial purposes</t>
  </si>
  <si>
    <t>Kapitálové výdavky</t>
  </si>
  <si>
    <t>Capital Expenditure</t>
  </si>
  <si>
    <t>P.51G + P.5M + NP + D.9</t>
  </si>
  <si>
    <t>Kapitálové investície</t>
  </si>
  <si>
    <t>Capital Investment</t>
  </si>
  <si>
    <t>P.51G + P.5M + NP</t>
  </si>
  <si>
    <t xml:space="preserve"> - Tvorba hrubého fixného kapitálu</t>
  </si>
  <si>
    <t xml:space="preserve"> - Gross fixed capital formation</t>
  </si>
  <si>
    <t>P.51G</t>
  </si>
  <si>
    <t xml:space="preserve"> - Zmena stavu zásob a nadobudnutie mínus úbytok cenností</t>
  </si>
  <si>
    <t xml:space="preserve"> - Increase in inventories</t>
  </si>
  <si>
    <t>P.5M</t>
  </si>
  <si>
    <t xml:space="preserve"> - Nadobudnutie mínus úbytok nefinančných neprodukovaných aktív</t>
  </si>
  <si>
    <t xml:space="preserve"> - Acquisition minus disposal of non-financial assets</t>
  </si>
  <si>
    <t>NP</t>
  </si>
  <si>
    <t>Capital transfers</t>
  </si>
  <si>
    <t xml:space="preserve"> - Investičné dotácie a ostatné kapitálové transfery</t>
  </si>
  <si>
    <t xml:space="preserve"> - Investment grants and other capital transfers</t>
  </si>
  <si>
    <t>D.92+D.99</t>
  </si>
  <si>
    <t>Čisté pôžičky poskytnuté / prijaté</t>
  </si>
  <si>
    <t>Net lending/borrowing</t>
  </si>
  <si>
    <t>B.9 (TR - TE)</t>
  </si>
  <si>
    <t xml:space="preserve"> - in % of GDP</t>
  </si>
  <si>
    <t>HDP</t>
  </si>
  <si>
    <t>GDP</t>
  </si>
  <si>
    <t>MFSR</t>
  </si>
  <si>
    <t>Odhad</t>
  </si>
  <si>
    <t xml:space="preserve"> - vratky domácnostiam za spotrebu plynu</t>
  </si>
  <si>
    <t>Rovnomerná cesta k MTO 2019</t>
  </si>
  <si>
    <t>15. Medziročná zmena deflátoru</t>
  </si>
  <si>
    <t>17. Miera potencionálneho rastu HDP</t>
  </si>
  <si>
    <t>21. Splnenie výdavkového pravidla</t>
  </si>
  <si>
    <t>Odchýlka od referenčnej hodnoty ŠS</t>
  </si>
  <si>
    <t xml:space="preserve"> - príjem/úhrada DPH z PPP projektu (Granvia)</t>
  </si>
  <si>
    <t>Medziročný vplyv zvýšenej úspešnosti výberu DPH</t>
  </si>
  <si>
    <t>Požadovaná medziročná zmena</t>
  </si>
  <si>
    <t>Makroekonomické predpoklady</t>
  </si>
  <si>
    <t>HDP deflátor (v %)</t>
  </si>
  <si>
    <t>HDP v bežných cenách</t>
  </si>
  <si>
    <t>Výdavkový agregát</t>
  </si>
  <si>
    <t>1. Celkové výdavky</t>
  </si>
  <si>
    <t>2.   Úrokové náklady</t>
  </si>
  <si>
    <t>3.   Výdavky kryté EÚ zdrojmi (celkové)</t>
  </si>
  <si>
    <t>z toho: Výdavky kryté EÚ zdrojmi (kapitálové)</t>
  </si>
  <si>
    <t>4.   Kapitálové výdavky kryté národnými zdrojmi</t>
  </si>
  <si>
    <t>5.   Vyhladené kapitálové výdavky (nár. zdroje 4-ročný pohyblivý priemer)</t>
  </si>
  <si>
    <t xml:space="preserve">7.   Výdavky plne kryté automatickým zvýšením príjmov </t>
  </si>
  <si>
    <t>16. Reálny rast agregátu výdavkov očist. o príjmové opatrenia (14-15)</t>
  </si>
  <si>
    <t xml:space="preserve"> - pokuta protimonopolného úradu za stavebný kartel </t>
  </si>
  <si>
    <t>10. Zmena v príjmoch z titulu diskrečných príjmových opatrení</t>
  </si>
  <si>
    <t>12. Jednorázové opatrenia na výdavkovej strane</t>
  </si>
  <si>
    <t>8. Primárny výdavkový agregát (1-2-3-4+5-6-7)</t>
  </si>
  <si>
    <t>9. Medziročná zmena primárneho výdavkového agregátu (8t-8t-1)</t>
  </si>
  <si>
    <t>19. Výdavkové pravidlo (17-18)</t>
  </si>
  <si>
    <t>2015 (východiskový bod)</t>
  </si>
  <si>
    <t>2019 (MTO)</t>
  </si>
  <si>
    <r>
      <t>14. Nominálny rast agregátu výdavkov očisteného o príjmové opatrenia ((9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-(10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+11t)-(12t)+(13t))/8t-1*100)</t>
    </r>
  </si>
  <si>
    <t>V prípade identifikovania odchýlky nastáva celkové hodnotenie</t>
  </si>
  <si>
    <t>Celkové hodnotenie štrukturálneho salda</t>
  </si>
  <si>
    <t>Hodnotenie dodržania výdavkového pravidla</t>
  </si>
  <si>
    <t>Celkové hodnotenie výdavkového pravidla</t>
  </si>
  <si>
    <t>TABUĽKA 1: Hodnotenie plnenia pravidla o vyrovnanom rozpočte v národnej metodike (% HDP)</t>
  </si>
  <si>
    <t>V prípade identifikovania odchýlky nastáva "celkové hodnotenie"</t>
  </si>
  <si>
    <t>Sumárna tabuľka</t>
  </si>
  <si>
    <t>20. Hodnotenie súladu s výdavkovým pravidlom v % HDP ((19t-16t)*8t-1/HDPt)</t>
  </si>
  <si>
    <t>7. Vyhodnotenie súladu štrukturálneho salda* (4-6)</t>
  </si>
  <si>
    <t>6. Rovnomerná cesta k MTO 2019</t>
  </si>
  <si>
    <t>3 (áno ak 2=&gt;1)</t>
  </si>
  <si>
    <t xml:space="preserve">Odchýlenie od výdavkového pravidla (v % HDP) </t>
  </si>
  <si>
    <t>Splnenie súladu štrukturálneho salda po zohľadnení dodatočných faktorov</t>
  </si>
  <si>
    <t xml:space="preserve">Odchýlenie od rovnomernej cesty (v % HDP) </t>
  </si>
  <si>
    <t>Celkové hodnotenie súladu štrukturálneho salda*</t>
  </si>
  <si>
    <t>* ( &gt;=0) ide o  súlad s pravidlom, ak je &lt; 0 zároveň &gt;-0,5 ide o nevýrazné odchýlenie, ak &lt;=-0,5 ide o výrazné odchýlenie</t>
  </si>
  <si>
    <t>* ide o vyhodnotenie odchýlenia od rovnomernej cesty, ((7) &gt;=0) súlad s pravidlom, (0 &gt;(7)&gt;-0,5) nevýrazné odchýlenie, ((7)&lt;=-0,5) výrazné odchýlenie</t>
  </si>
  <si>
    <r>
      <t xml:space="preserve">Hodnotenie odchýlky vo vývoji ŠS </t>
    </r>
    <r>
      <rPr>
        <sz val="10"/>
        <color theme="1"/>
        <rFont val="Arial Narrow"/>
        <family val="2"/>
        <charset val="238"/>
      </rPr>
      <t>oproti referenčnej hodnote
(ak 5 =&gt; 0 je v súlade, ak 5 je v rozmedzí od 0 po -0,5 ide o nevýrazné odchýlenie, ak 5 je rovné alebo nižšie ako -0,5 výrazné odchýlenie)</t>
    </r>
  </si>
  <si>
    <t>Porovnanie</t>
  </si>
  <si>
    <t>Finálne hodnotenie</t>
  </si>
  <si>
    <t>Zdroj: Výbor pre daňové prognózy, september 2017</t>
  </si>
  <si>
    <t>Aktualizácia vývoja daňových príjmov podľa VpDP</t>
  </si>
  <si>
    <t>Pomocná tabuľka : Aktualizácia akruálnych daní za rok 2016 (mil. eur)</t>
  </si>
  <si>
    <t>Jún</t>
  </si>
  <si>
    <t>November</t>
  </si>
  <si>
    <t>rozdiel</t>
  </si>
  <si>
    <t>Cyklická zložka</t>
  </si>
  <si>
    <t>Jednorazové efekty</t>
  </si>
  <si>
    <t>Celková zmena odchylky</t>
  </si>
  <si>
    <t>Revízia východiskového roka 2015</t>
  </si>
  <si>
    <t>Odchýlka od výdavkového pravidla</t>
  </si>
  <si>
    <t>Štrukturálne saldo (% HDP)</t>
  </si>
  <si>
    <t>Odchýnie od požadovanej cesty k MTO (% HDP)</t>
  </si>
  <si>
    <t>Pomocné tabuľky pre graf 3</t>
  </si>
  <si>
    <t>Nominálne saldo</t>
  </si>
  <si>
    <t>Pomocná tabuľka pre graf 4</t>
  </si>
  <si>
    <t>TABUĽKA 8 - Spolufinancovanie z dôvodu čerpania EŠIF (mil. eur, % HDP)</t>
  </si>
  <si>
    <t>Pomocná tabuľka : Medziročná zmena zvýšenia efektívnosti výberu DPH (mil.eur, % HDP)</t>
  </si>
  <si>
    <t>Zníženie sadzby bankového odvodu od roku 2015, plánované zrušenie od roku 2017</t>
  </si>
  <si>
    <t>Otvorenie II. piliera - bežný vplyv</t>
  </si>
  <si>
    <t>Odvodová odpočítateľná položka</t>
  </si>
  <si>
    <t>Zákon 222/2004 Z.z. o DPH, uvoľnenie podmienok pre vyplácanie NO do 30 dní</t>
  </si>
  <si>
    <t>DPH - zníženie sadzby na vybrané potraviny</t>
  </si>
  <si>
    <t>Zvýšenie počtu cigariet v balení z 19 na 20 od 1.3.2016</t>
  </si>
  <si>
    <t>Zdaňovanie cigár a cigariek podľa hmotnosti</t>
  </si>
  <si>
    <t>Zákony 595/2003 a 580/2004 - podpora investovania na kapitálovom trhu</t>
  </si>
  <si>
    <t>Celkové hodnotenie štrukturálneho salda podľa národnej metodiky (ESA2010, % HDP) </t>
  </si>
  <si>
    <t>ESA2010_data</t>
  </si>
  <si>
    <t>Hodnotenie dodržania požadovanej trajektórie vývoja štrukturálneho salda</t>
  </si>
  <si>
    <t>Vyhladené vládne kapitálové výdavky (4-ročný pohyblivý priemer)</t>
  </si>
  <si>
    <t>ESA 2010 
ESA 2010 code</t>
  </si>
  <si>
    <t>No-policy-change scenár (NPC)</t>
  </si>
  <si>
    <t>Rozhodovacia matica</t>
  </si>
  <si>
    <t>-</t>
  </si>
  <si>
    <t>MTO 2019</t>
  </si>
  <si>
    <t>zelena 2019</t>
  </si>
  <si>
    <t>cervena 2019</t>
  </si>
  <si>
    <t>biela</t>
  </si>
  <si>
    <t>dodatočné vplyvy</t>
  </si>
  <si>
    <t>Opatrenia s vplyvom na medziročné zvýšenie efektívnosti výberu DPH</t>
  </si>
  <si>
    <t>Zmena v administratívnych poplatkoch</t>
  </si>
  <si>
    <t>DPPO - zníženie sadzby na 21%</t>
  </si>
  <si>
    <t>Zvýšenie poplatku za skladovanie (EOSA)</t>
  </si>
  <si>
    <t>Zdvojnásobenie sadzby OO v regulovaných odvetviach, úprava podmienok a výpočtu, pokles v 2019</t>
  </si>
  <si>
    <t>Zvýšenie spotrebnej dane z tabakových výrobkov od 1.2.2017 a 1.2.2019</t>
  </si>
  <si>
    <t>Ponechanie sadzby OO finančných inštitúcií na 0.2%</t>
  </si>
  <si>
    <t>Úročenie zadržaných NO, efektívnejšia správa daní</t>
  </si>
  <si>
    <t>DPPO - oslobodenie od DPPO príjmov Rady pre riešenie krízových situácii</t>
  </si>
  <si>
    <t>Paušálne výdavky - 60%, max. 20 tis. Eur</t>
  </si>
  <si>
    <t>Zrušenie MVZ pre zdravotné poistenie</t>
  </si>
  <si>
    <t>Zvýšenie MVZ pre sociálne odvody</t>
  </si>
  <si>
    <t xml:space="preserve">Zvýšenie sadzieb dani z nehnuteľností </t>
  </si>
  <si>
    <t>Neživotné poistenie (8% odvod)</t>
  </si>
  <si>
    <t>Poplatok za rozvoj</t>
  </si>
  <si>
    <t>Vyššie prijmy z hazardu (zmena výšky odvodov)</t>
  </si>
  <si>
    <t>Rast odvodu do II. piliera (automaticky od 2017 o 0,25 p.b./rok)</t>
  </si>
  <si>
    <t>Spolu</t>
  </si>
  <si>
    <t>TABUĽKA 9 - Metodické vplyvy (v mil. eur, ESA2010)</t>
  </si>
  <si>
    <t>Zmeny v štátom platenom poistnom (zdravotné a sociálne poistenie)</t>
  </si>
  <si>
    <t>Zmeny v imputovaných sociálnych príspevkoch</t>
  </si>
  <si>
    <t>Zmeny v schémach finančného sektora</t>
  </si>
  <si>
    <t>13. Metodické úpravy</t>
  </si>
  <si>
    <t>Revízia roku 2017 (predbežné hodnotenie)</t>
  </si>
  <si>
    <t xml:space="preserve"> - pokuta PMU - prevod na Slovenskú konsolidačnú a.s.</t>
  </si>
  <si>
    <t xml:space="preserve"> - na príjmovej strane</t>
  </si>
  <si>
    <t xml:space="preserve"> - z toho v DRM</t>
  </si>
  <si>
    <t xml:space="preserve"> - na výdavkovej strane</t>
  </si>
  <si>
    <t>P</t>
  </si>
  <si>
    <t>V</t>
  </si>
  <si>
    <t>* P - príjmové, V - výdavkové opatrenie, P_DRM - diskrečné príjmové</t>
  </si>
  <si>
    <t>11. Jednorázové opatrenia na príjmovej strane (len ak zároveň aj DRM)</t>
  </si>
  <si>
    <t>EK Metodika (2) (DBP 2019)</t>
  </si>
  <si>
    <t xml:space="preserve"> Výdavky kryté z EÚ fondov a ich rozklad - finálne hodnotenie FK 2017 (november 2018)</t>
  </si>
  <si>
    <t xml:space="preserve"> Výdavky kryté z EÚ fondov a ich rozklad - predbežné hodnotenie FK 2017 (jún 2018)</t>
  </si>
  <si>
    <t>Štrukturálne saldo (ŠS)</t>
  </si>
  <si>
    <t>Požadovaná úroveň ŠS v danom roku podľa rovnomernej cesty od roku 2015 do 2019 (referenčná hodnota pre Fiškálny kompakt)</t>
  </si>
  <si>
    <t>Obsah - Plnenie pravidla vyrovnaného rozpočtu za rok 2017 - finálne  hodnotenie</t>
  </si>
  <si>
    <t>ŠS_základné hodnotenie</t>
  </si>
  <si>
    <t>VP_základné hodnotenie</t>
  </si>
  <si>
    <t>6.   Cyklické výdavky na dávky v nezamestnanosti a dôchodky</t>
  </si>
  <si>
    <t>p.m. požadovaná zmena ŠS na dosiahnutie MTO 2019 (% HDP)</t>
  </si>
  <si>
    <t>Potenciálny rast HDP (v %)</t>
  </si>
  <si>
    <t>22. Kumulatívna odchýlka od výdavkového pravidla (v % HDP)</t>
  </si>
  <si>
    <t>23. Splnenie výdavkového pravidla na kumulatívnej báze</t>
  </si>
  <si>
    <t>TABUĽKA 7: Vývoj výdavkového pravidla oproti hodnoteniu fiškálneho kompaktu z júna 2018</t>
  </si>
  <si>
    <t>Odchýlka od Výdavkového pravidla (kumulatívne)</t>
  </si>
  <si>
    <t xml:space="preserve">7 = kumul. r. 6 </t>
  </si>
  <si>
    <r>
      <t xml:space="preserve">Hodnotenie výdavkového pravidla
</t>
    </r>
    <r>
      <rPr>
        <sz val="10"/>
        <color theme="1"/>
        <rFont val="Arial Narrow"/>
        <family val="2"/>
        <charset val="238"/>
      </rPr>
      <t>(ak 7 =&gt; 0 je v súlade, ak 7 je v rozmedzí od 0 po -0,5 ide o nevýrazné odchýlenie, ak 7 je rovné alebo nižšie ako -0,5 výrazné odchýlenie)</t>
    </r>
  </si>
  <si>
    <t>Odchýlka od výdavkového pravidla (kumulatívna báza)</t>
  </si>
  <si>
    <t>18. Konvergenčná doložka - zmena štrukturálneho salda/ ((1t-1- 2t-1)/HDPt-1)</t>
  </si>
  <si>
    <t>GRAF 2: Faktory ovplyvňujúce štrukturálne saldo oproti júnovému hodnoteniu (% HDP)</t>
  </si>
  <si>
    <t xml:space="preserve">Revízia výdavkov v roku 2017 </t>
  </si>
  <si>
    <t>Zmena DRM* v roku 2017</t>
  </si>
  <si>
    <t>Revízia výdavkov v roku 2016</t>
  </si>
  <si>
    <t>TABUĽKA 2: Hodnotenie štrukturálneho salda podľa národnej metodiky (ESA2010, % HDP)</t>
  </si>
  <si>
    <t xml:space="preserve"> Výpočet novej rovnomernej cesty pre dosiahnutie MTO v roku 2019 (% HDP)</t>
  </si>
  <si>
    <t>Vývoj štrukturálneho salda oproti hodnoteniu fiškálneho kompaktu z júna 2018</t>
  </si>
  <si>
    <t>TABUĽKA 3: Zoznam opatrení v roku 2017 (ESA2010, skutočnosť oproti NPC scenáru)</t>
  </si>
  <si>
    <t>TABUĽKA 4: Hodnotenie výdavkového pravidla (mil. eur)</t>
  </si>
  <si>
    <t>GRAF 3: Faktory ovplyvňujúce odchýlku od výdavkového pravidla oproti júnovému hodnoteniu (% HDP)</t>
  </si>
  <si>
    <t xml:space="preserve">Pomocná tabuľka </t>
  </si>
  <si>
    <t>TABUĽKA 6: Rozdiely vo výpočte štrukturálneho salda v národnej metodike (FK) a EK metodike</t>
  </si>
  <si>
    <t>TABUĽKA 7: Jednorazové vplyvy  (ESA2010, mil. eur)</t>
  </si>
  <si>
    <t>TABUĽKA 8: Príjmové diskrečné opatrenia (v mil. eur, ESA2010)</t>
  </si>
  <si>
    <t>z toho: Opatrenia na zvýšenie efektívnosti výberu DPH</t>
  </si>
  <si>
    <t>z toho: Zdvojnásobenie sadzby OO v regulovaných odvetviach</t>
  </si>
  <si>
    <t>z toho: Zvýšenie spotrebnej dane z tabakových výrobkov</t>
  </si>
  <si>
    <t>z toho: Zníženie sadzy DPPO na 21%</t>
  </si>
  <si>
    <t>z toho: Zrušenie minimálneho vymeriavacieho základu pre zdravotné poistenie</t>
  </si>
  <si>
    <t>z toho: Zvýšenie minimálneho vymeriavacieho základu pre sociálne poistenie</t>
  </si>
  <si>
    <t>z toho: vyššie príjmy EOSA</t>
  </si>
  <si>
    <t>z toho ŠR</t>
  </si>
  <si>
    <t>z toho NDS</t>
  </si>
  <si>
    <t>z toho Samosprávy</t>
  </si>
  <si>
    <t>z toho: ŽSSK</t>
  </si>
  <si>
    <t>z toho: ŽSR</t>
  </si>
  <si>
    <t>Sociálne transfery</t>
  </si>
  <si>
    <t>z toho: nižšie transfery zdravotníckym zariadeniam</t>
  </si>
  <si>
    <t>z toho: Priemyselný park v Nitre</t>
  </si>
  <si>
    <t>Mierne rozdiely v súčtových riadkoch  môžu vznikať kvôli zaokrúhľovaniu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</si>
</sst>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0.000"/>
    <numFmt numFmtId="165" formatCode="#,##0.0"/>
    <numFmt numFmtId="166" formatCode="_-* #,##0\ _€_-;\-* #,##0\ _€_-;_-* &quot;-&quot;??\ _€_-;_-@_-"/>
    <numFmt numFmtId="167" formatCode="#,##0.00_ ;\-#,##0.00\ "/>
    <numFmt numFmtId="168" formatCode="0.0"/>
    <numFmt numFmtId="169" formatCode="#,##0_ ;\-#,##0\ "/>
    <numFmt numFmtId="170" formatCode="0.0%"/>
    <numFmt numFmtId="171" formatCode="#,##0.0000"/>
    <numFmt numFmtId="172" formatCode="_-* #,##0.00_-;\-* #,##0.0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b/>
      <sz val="10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sz val="10"/>
      <color indexed="8"/>
      <name val="Arial Narrow"/>
      <family val="2"/>
      <charset val="238"/>
    </font>
    <font>
      <u/>
      <sz val="11"/>
      <color theme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</font>
    <font>
      <sz val="10"/>
      <color rgb="FFC00000"/>
      <name val="Arial Narrow"/>
      <family val="2"/>
      <charset val="238"/>
    </font>
    <font>
      <sz val="10"/>
      <color theme="4"/>
      <name val="Arial Narrow"/>
      <family val="2"/>
      <charset val="238"/>
    </font>
    <font>
      <vertAlign val="subscript"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u/>
      <sz val="11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rgb="FF000000"/>
      <name val="Constantia"/>
      <family val="1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17" fillId="0" borderId="0" applyNumberForma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0" fillId="0" borderId="0"/>
    <xf numFmtId="0" fontId="34" fillId="0" borderId="0"/>
    <xf numFmtId="9" fontId="9" fillId="0" borderId="0" applyFont="0" applyFill="0" applyBorder="0" applyAlignment="0" applyProtection="0"/>
    <xf numFmtId="0" fontId="9" fillId="0" borderId="0"/>
    <xf numFmtId="0" fontId="37" fillId="0" borderId="0"/>
    <xf numFmtId="0" fontId="30" fillId="0" borderId="0"/>
    <xf numFmtId="0" fontId="2" fillId="0" borderId="0"/>
    <xf numFmtId="9" fontId="3" fillId="0" borderId="0" applyFont="0" applyFill="0" applyBorder="0" applyAlignment="0" applyProtection="0"/>
    <xf numFmtId="0" fontId="48" fillId="0" borderId="0"/>
    <xf numFmtId="172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7" fillId="0" borderId="0"/>
    <xf numFmtId="0" fontId="49" fillId="0" borderId="0"/>
    <xf numFmtId="172" fontId="7" fillId="0" borderId="0" applyFont="0" applyFill="0" applyBorder="0" applyAlignment="0" applyProtection="0"/>
    <xf numFmtId="0" fontId="7" fillId="0" borderId="0"/>
    <xf numFmtId="0" fontId="3" fillId="0" borderId="0"/>
    <xf numFmtId="0" fontId="48" fillId="0" borderId="0"/>
  </cellStyleXfs>
  <cellXfs count="483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9" fillId="0" borderId="0" xfId="0" applyFont="1"/>
    <xf numFmtId="0" fontId="12" fillId="0" borderId="4" xfId="0" applyFont="1" applyBorder="1" applyAlignment="1">
      <alignment horizontal="center" vertical="center"/>
    </xf>
    <xf numFmtId="0" fontId="14" fillId="0" borderId="0" xfId="0" applyFont="1"/>
    <xf numFmtId="0" fontId="12" fillId="0" borderId="0" xfId="4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/>
    <xf numFmtId="0" fontId="11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0" borderId="2" xfId="0" applyFont="1" applyBorder="1"/>
    <xf numFmtId="0" fontId="20" fillId="6" borderId="13" xfId="0" applyFont="1" applyFill="1" applyBorder="1" applyAlignment="1">
      <alignment horizontal="center" vertical="center"/>
    </xf>
    <xf numFmtId="0" fontId="10" fillId="0" borderId="0" xfId="0" applyFont="1"/>
    <xf numFmtId="0" fontId="9" fillId="0" borderId="2" xfId="0" applyFont="1" applyBorder="1"/>
    <xf numFmtId="1" fontId="10" fillId="0" borderId="0" xfId="0" applyNumberFormat="1" applyFont="1"/>
    <xf numFmtId="2" fontId="10" fillId="0" borderId="0" xfId="0" applyNumberFormat="1" applyFont="1"/>
    <xf numFmtId="0" fontId="10" fillId="0" borderId="4" xfId="0" applyFont="1" applyBorder="1"/>
    <xf numFmtId="0" fontId="6" fillId="0" borderId="0" xfId="0" applyFont="1"/>
    <xf numFmtId="0" fontId="10" fillId="0" borderId="0" xfId="0" applyFont="1" applyFill="1"/>
    <xf numFmtId="0" fontId="6" fillId="0" borderId="4" xfId="0" applyFont="1" applyBorder="1" applyAlignment="1">
      <alignment horizontal="center" wrapText="1"/>
    </xf>
    <xf numFmtId="0" fontId="6" fillId="3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6" fontId="6" fillId="0" borderId="4" xfId="1" applyNumberFormat="1" applyFont="1" applyFill="1" applyBorder="1" applyAlignment="1">
      <alignment horizontal="right" vertical="center"/>
    </xf>
    <xf numFmtId="3" fontId="13" fillId="0" borderId="4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6" fillId="3" borderId="0" xfId="1" applyNumberFormat="1" applyFont="1" applyFill="1" applyBorder="1" applyAlignment="1">
      <alignment horizontal="right" vertical="center"/>
    </xf>
    <xf numFmtId="0" fontId="22" fillId="0" borderId="0" xfId="0" applyFont="1"/>
    <xf numFmtId="165" fontId="6" fillId="0" borderId="0" xfId="1" applyNumberFormat="1" applyFont="1" applyFill="1" applyBorder="1" applyAlignment="1">
      <alignment horizontal="right" vertical="center"/>
    </xf>
    <xf numFmtId="0" fontId="11" fillId="0" borderId="4" xfId="0" applyFont="1" applyBorder="1" applyAlignment="1"/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23" fillId="0" borderId="0" xfId="0" applyFont="1"/>
    <xf numFmtId="0" fontId="10" fillId="0" borderId="0" xfId="0" applyFont="1" applyBorder="1"/>
    <xf numFmtId="164" fontId="10" fillId="0" borderId="0" xfId="0" applyNumberFormat="1" applyFont="1"/>
    <xf numFmtId="168" fontId="10" fillId="0" borderId="0" xfId="0" applyNumberFormat="1" applyFont="1"/>
    <xf numFmtId="0" fontId="13" fillId="5" borderId="0" xfId="0" applyFont="1" applyFill="1" applyAlignment="1">
      <alignment vertical="center" wrapText="1"/>
    </xf>
    <xf numFmtId="2" fontId="13" fillId="0" borderId="0" xfId="0" applyNumberFormat="1" applyFont="1" applyAlignment="1">
      <alignment horizontal="center"/>
    </xf>
    <xf numFmtId="0" fontId="12" fillId="5" borderId="0" xfId="0" applyFont="1" applyFill="1" applyAlignment="1">
      <alignment vertical="center" wrapText="1"/>
    </xf>
    <xf numFmtId="168" fontId="12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vertical="center"/>
    </xf>
    <xf numFmtId="168" fontId="13" fillId="5" borderId="0" xfId="0" applyNumberFormat="1" applyFont="1" applyFill="1" applyAlignment="1">
      <alignment horizontal="center"/>
    </xf>
    <xf numFmtId="166" fontId="13" fillId="5" borderId="0" xfId="1" applyNumberFormat="1" applyFont="1" applyFill="1" applyAlignment="1"/>
    <xf numFmtId="166" fontId="13" fillId="5" borderId="0" xfId="1" applyNumberFormat="1" applyFont="1" applyFill="1" applyAlignment="1">
      <alignment horizontal="right"/>
    </xf>
    <xf numFmtId="0" fontId="10" fillId="0" borderId="9" xfId="0" applyFont="1" applyBorder="1"/>
    <xf numFmtId="3" fontId="10" fillId="0" borderId="0" xfId="0" applyNumberFormat="1" applyFont="1"/>
    <xf numFmtId="0" fontId="6" fillId="0" borderId="0" xfId="0" applyFont="1" applyFill="1" applyBorder="1" applyAlignment="1"/>
    <xf numFmtId="0" fontId="6" fillId="0" borderId="0" xfId="0" applyFont="1" applyFill="1" applyBorder="1"/>
    <xf numFmtId="0" fontId="10" fillId="0" borderId="0" xfId="0" applyFont="1" applyFill="1" applyBorder="1"/>
    <xf numFmtId="1" fontId="10" fillId="0" borderId="0" xfId="0" applyNumberFormat="1" applyFont="1" applyFill="1" applyBorder="1"/>
    <xf numFmtId="3" fontId="10" fillId="0" borderId="0" xfId="0" applyNumberFormat="1" applyFont="1" applyFill="1" applyBorder="1"/>
    <xf numFmtId="0" fontId="25" fillId="0" borderId="4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left" vertical="center" wrapText="1"/>
    </xf>
    <xf numFmtId="0" fontId="16" fillId="0" borderId="2" xfId="3" applyFont="1" applyFill="1" applyBorder="1" applyAlignment="1">
      <alignment horizontal="left" vertical="center" wrapText="1"/>
    </xf>
    <xf numFmtId="3" fontId="10" fillId="0" borderId="0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67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vertical="center"/>
    </xf>
    <xf numFmtId="168" fontId="13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8" fontId="1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1" fontId="16" fillId="0" borderId="0" xfId="5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indent="1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indent="1"/>
    </xf>
    <xf numFmtId="168" fontId="13" fillId="0" borderId="4" xfId="0" applyNumberFormat="1" applyFont="1" applyFill="1" applyBorder="1" applyAlignment="1">
      <alignment horizontal="center" vertical="center"/>
    </xf>
    <xf numFmtId="1" fontId="16" fillId="0" borderId="2" xfId="5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28" fillId="0" borderId="0" xfId="6" applyFont="1"/>
    <xf numFmtId="0" fontId="29" fillId="0" borderId="0" xfId="0" applyFont="1"/>
    <xf numFmtId="0" fontId="31" fillId="0" borderId="0" xfId="9" applyNumberFormat="1" applyFont="1" applyFill="1" applyBorder="1" applyAlignment="1" applyProtection="1"/>
    <xf numFmtId="0" fontId="32" fillId="7" borderId="8" xfId="9" applyFont="1" applyFill="1" applyBorder="1" applyAlignment="1">
      <alignment vertical="center"/>
    </xf>
    <xf numFmtId="0" fontId="32" fillId="7" borderId="16" xfId="9" applyFont="1" applyFill="1" applyBorder="1" applyAlignment="1">
      <alignment vertical="center"/>
    </xf>
    <xf numFmtId="0" fontId="31" fillId="8" borderId="8" xfId="9" applyFont="1" applyFill="1" applyBorder="1" applyAlignment="1">
      <alignment vertical="center"/>
    </xf>
    <xf numFmtId="0" fontId="33" fillId="8" borderId="17" xfId="10" applyFont="1" applyFill="1" applyBorder="1" applyAlignment="1">
      <alignment horizontal="center" vertical="center"/>
    </xf>
    <xf numFmtId="0" fontId="35" fillId="8" borderId="17" xfId="10" applyFont="1" applyFill="1" applyBorder="1" applyAlignment="1">
      <alignment horizontal="center" vertical="center"/>
    </xf>
    <xf numFmtId="0" fontId="33" fillId="8" borderId="16" xfId="10" applyFont="1" applyFill="1" applyBorder="1" applyAlignment="1">
      <alignment horizontal="center" vertical="center"/>
    </xf>
    <xf numFmtId="0" fontId="31" fillId="8" borderId="10" xfId="9" applyFont="1" applyFill="1" applyBorder="1" applyAlignment="1">
      <alignment vertical="center"/>
    </xf>
    <xf numFmtId="0" fontId="35" fillId="8" borderId="7" xfId="7" applyFont="1" applyFill="1" applyBorder="1" applyAlignment="1" applyProtection="1">
      <alignment horizontal="left" vertical="center"/>
      <protection locked="0"/>
    </xf>
    <xf numFmtId="4" fontId="35" fillId="8" borderId="18" xfId="7" applyNumberFormat="1" applyFont="1" applyFill="1" applyBorder="1" applyAlignment="1" applyProtection="1">
      <alignment horizontal="right" vertical="center"/>
      <protection locked="0"/>
    </xf>
    <xf numFmtId="0" fontId="35" fillId="8" borderId="10" xfId="7" applyFont="1" applyFill="1" applyBorder="1" applyAlignment="1" applyProtection="1">
      <alignment horizontal="left" vertical="center"/>
      <protection locked="0"/>
    </xf>
    <xf numFmtId="0" fontId="33" fillId="4" borderId="8" xfId="9" applyFont="1" applyFill="1" applyBorder="1" applyAlignment="1">
      <alignment vertical="center"/>
    </xf>
    <xf numFmtId="0" fontId="35" fillId="4" borderId="8" xfId="7" applyFont="1" applyFill="1" applyBorder="1" applyAlignment="1" applyProtection="1">
      <alignment horizontal="center" vertical="center"/>
      <protection locked="0"/>
    </xf>
    <xf numFmtId="0" fontId="31" fillId="0" borderId="16" xfId="12" applyFont="1" applyFill="1" applyBorder="1" applyAlignment="1">
      <alignment horizontal="left" vertical="center" indent="2"/>
    </xf>
    <xf numFmtId="0" fontId="36" fillId="0" borderId="8" xfId="7" applyFont="1" applyFill="1" applyBorder="1" applyAlignment="1" applyProtection="1">
      <alignment horizontal="center" vertical="center"/>
      <protection locked="0"/>
    </xf>
    <xf numFmtId="0" fontId="31" fillId="0" borderId="16" xfId="12" applyFont="1" applyFill="1" applyBorder="1" applyAlignment="1">
      <alignment horizontal="left" vertical="center" wrapText="1" indent="3"/>
    </xf>
    <xf numFmtId="0" fontId="36" fillId="0" borderId="8" xfId="13" applyFont="1" applyFill="1" applyBorder="1" applyAlignment="1">
      <alignment horizontal="center" vertical="center" wrapText="1"/>
    </xf>
    <xf numFmtId="0" fontId="31" fillId="0" borderId="16" xfId="12" applyFont="1" applyBorder="1" applyAlignment="1">
      <alignment horizontal="left" vertical="center" wrapText="1" indent="3"/>
    </xf>
    <xf numFmtId="0" fontId="31" fillId="0" borderId="16" xfId="12" applyFont="1" applyBorder="1" applyAlignment="1">
      <alignment horizontal="left" vertical="center" wrapText="1" indent="2"/>
    </xf>
    <xf numFmtId="0" fontId="31" fillId="0" borderId="16" xfId="12" applyFont="1" applyFill="1" applyBorder="1" applyAlignment="1">
      <alignment horizontal="left" vertical="center" indent="7"/>
    </xf>
    <xf numFmtId="0" fontId="31" fillId="0" borderId="16" xfId="12" applyFont="1" applyBorder="1" applyAlignment="1">
      <alignment horizontal="left" vertical="center" indent="3"/>
    </xf>
    <xf numFmtId="0" fontId="31" fillId="0" borderId="16" xfId="12" applyFont="1" applyFill="1" applyBorder="1" applyAlignment="1">
      <alignment horizontal="left" vertical="center" indent="3"/>
    </xf>
    <xf numFmtId="0" fontId="31" fillId="0" borderId="16" xfId="12" applyFont="1" applyBorder="1" applyAlignment="1">
      <alignment horizontal="left" vertical="center" indent="2"/>
    </xf>
    <xf numFmtId="0" fontId="33" fillId="4" borderId="16" xfId="12" applyFont="1" applyFill="1" applyBorder="1" applyAlignment="1">
      <alignment horizontal="left" vertical="center"/>
    </xf>
    <xf numFmtId="0" fontId="33" fillId="4" borderId="8" xfId="9" applyFont="1" applyFill="1" applyBorder="1" applyAlignment="1">
      <alignment horizontal="left" vertical="center"/>
    </xf>
    <xf numFmtId="0" fontId="31" fillId="0" borderId="8" xfId="12" applyFont="1" applyFill="1" applyBorder="1" applyAlignment="1">
      <alignment horizontal="center"/>
    </xf>
    <xf numFmtId="0" fontId="33" fillId="0" borderId="16" xfId="12" applyFont="1" applyBorder="1" applyAlignment="1">
      <alignment horizontal="left" vertical="center" indent="2"/>
    </xf>
    <xf numFmtId="0" fontId="33" fillId="0" borderId="8" xfId="12" applyFont="1" applyBorder="1" applyAlignment="1">
      <alignment horizontal="center"/>
    </xf>
    <xf numFmtId="0" fontId="31" fillId="0" borderId="17" xfId="12" applyFont="1" applyFill="1" applyBorder="1" applyAlignment="1">
      <alignment horizontal="left" vertical="center" indent="2"/>
    </xf>
    <xf numFmtId="0" fontId="36" fillId="0" borderId="10" xfId="7" applyFont="1" applyFill="1" applyBorder="1" applyAlignment="1" applyProtection="1">
      <alignment horizontal="center" vertical="center"/>
      <protection locked="0"/>
    </xf>
    <xf numFmtId="0" fontId="35" fillId="8" borderId="7" xfId="7" applyFont="1" applyFill="1" applyBorder="1" applyAlignment="1" applyProtection="1">
      <alignment horizontal="center" vertical="center"/>
      <protection locked="0"/>
    </xf>
    <xf numFmtId="0" fontId="35" fillId="8" borderId="10" xfId="7" applyFont="1" applyFill="1" applyBorder="1" applyAlignment="1" applyProtection="1">
      <alignment horizontal="center" vertical="center"/>
      <protection locked="0"/>
    </xf>
    <xf numFmtId="0" fontId="33" fillId="4" borderId="16" xfId="12" applyFont="1" applyFill="1" applyBorder="1" applyAlignment="1">
      <alignment horizontal="left" indent="1"/>
    </xf>
    <xf numFmtId="0" fontId="33" fillId="0" borderId="16" xfId="12" applyFont="1" applyFill="1" applyBorder="1" applyAlignment="1">
      <alignment horizontal="left" vertical="center" indent="2"/>
    </xf>
    <xf numFmtId="0" fontId="35" fillId="0" borderId="8" xfId="7" applyFont="1" applyFill="1" applyBorder="1" applyAlignment="1" applyProtection="1">
      <alignment horizontal="center" vertical="center"/>
      <protection locked="0"/>
    </xf>
    <xf numFmtId="0" fontId="31" fillId="0" borderId="8" xfId="14" applyFont="1" applyFill="1" applyBorder="1" applyAlignment="1">
      <alignment horizontal="left" vertical="center" indent="3"/>
    </xf>
    <xf numFmtId="0" fontId="31" fillId="0" borderId="16" xfId="12" applyFont="1" applyBorder="1" applyAlignment="1">
      <alignment horizontal="left" vertical="center" indent="5"/>
    </xf>
    <xf numFmtId="0" fontId="31" fillId="0" borderId="16" xfId="12" applyFont="1" applyBorder="1" applyAlignment="1">
      <alignment horizontal="left" vertical="center" indent="7"/>
    </xf>
    <xf numFmtId="0" fontId="33" fillId="4" borderId="16" xfId="12" applyFont="1" applyFill="1" applyBorder="1" applyAlignment="1">
      <alignment horizontal="left" vertical="center" indent="1"/>
    </xf>
    <xf numFmtId="0" fontId="36" fillId="0" borderId="17" xfId="7" applyFont="1" applyFill="1" applyBorder="1" applyAlignment="1" applyProtection="1">
      <alignment horizontal="center" vertical="center"/>
      <protection locked="0"/>
    </xf>
    <xf numFmtId="0" fontId="35" fillId="8" borderId="18" xfId="7" applyFont="1" applyFill="1" applyBorder="1" applyAlignment="1" applyProtection="1">
      <alignment horizontal="center" vertical="center"/>
      <protection locked="0"/>
    </xf>
    <xf numFmtId="4" fontId="35" fillId="9" borderId="18" xfId="7" applyNumberFormat="1" applyFont="1" applyFill="1" applyBorder="1" applyAlignment="1" applyProtection="1">
      <alignment horizontal="right" vertical="center"/>
      <protection locked="0"/>
    </xf>
    <xf numFmtId="171" fontId="35" fillId="9" borderId="18" xfId="7" applyNumberFormat="1" applyFont="1" applyFill="1" applyBorder="1" applyAlignment="1" applyProtection="1">
      <alignment horizontal="right" vertical="center"/>
      <protection locked="0"/>
    </xf>
    <xf numFmtId="0" fontId="35" fillId="8" borderId="8" xfId="7" applyFont="1" applyFill="1" applyBorder="1" applyAlignment="1" applyProtection="1">
      <alignment horizontal="left" vertical="center"/>
      <protection locked="0"/>
    </xf>
    <xf numFmtId="0" fontId="35" fillId="8" borderId="16" xfId="7" applyFont="1" applyFill="1" applyBorder="1" applyAlignment="1" applyProtection="1">
      <alignment horizontal="center" vertical="center"/>
      <protection locked="0"/>
    </xf>
    <xf numFmtId="10" fontId="35" fillId="8" borderId="16" xfId="11" applyNumberFormat="1" applyFont="1" applyFill="1" applyBorder="1" applyAlignment="1" applyProtection="1">
      <alignment horizontal="right" vertical="center"/>
      <protection locked="0"/>
    </xf>
    <xf numFmtId="0" fontId="31" fillId="0" borderId="14" xfId="10" applyFont="1" applyFill="1" applyBorder="1"/>
    <xf numFmtId="0" fontId="31" fillId="0" borderId="14" xfId="9" applyNumberFormat="1" applyFont="1" applyFill="1" applyBorder="1" applyAlignment="1" applyProtection="1"/>
    <xf numFmtId="165" fontId="31" fillId="0" borderId="14" xfId="9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indent="1"/>
    </xf>
    <xf numFmtId="0" fontId="0" fillId="0" borderId="0" xfId="0" applyBorder="1"/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1"/>
    </xf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0" fillId="0" borderId="0" xfId="0" applyNumberFormat="1"/>
    <xf numFmtId="165" fontId="16" fillId="0" borderId="0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1" fontId="16" fillId="0" borderId="0" xfId="5" applyNumberFormat="1" applyFont="1" applyFill="1" applyBorder="1" applyAlignment="1">
      <alignment horizontal="center" vertical="center"/>
    </xf>
    <xf numFmtId="1" fontId="16" fillId="0" borderId="2" xfId="5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14" fillId="0" borderId="0" xfId="0" applyFont="1" applyFill="1" applyAlignment="1">
      <alignment vertical="center"/>
    </xf>
    <xf numFmtId="169" fontId="12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38" fillId="0" borderId="0" xfId="0" applyFont="1" applyFill="1"/>
    <xf numFmtId="0" fontId="12" fillId="5" borderId="4" xfId="0" applyFont="1" applyFill="1" applyBorder="1" applyAlignment="1">
      <alignment horizontal="left" vertical="center" wrapText="1" inden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4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/>
    </xf>
    <xf numFmtId="0" fontId="10" fillId="0" borderId="2" xfId="0" applyFont="1" applyBorder="1"/>
    <xf numFmtId="0" fontId="39" fillId="0" borderId="2" xfId="0" applyFont="1" applyFill="1" applyBorder="1"/>
    <xf numFmtId="0" fontId="10" fillId="0" borderId="0" xfId="0" applyFont="1" applyAlignment="1">
      <alignment horizontal="left" indent="1"/>
    </xf>
    <xf numFmtId="1" fontId="16" fillId="10" borderId="0" xfId="5" applyNumberFormat="1" applyFont="1" applyFill="1" applyBorder="1" applyAlignment="1">
      <alignment horizontal="center" vertical="center"/>
    </xf>
    <xf numFmtId="1" fontId="10" fillId="10" borderId="0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3" fillId="10" borderId="4" xfId="0" applyNumberFormat="1" applyFont="1" applyFill="1" applyBorder="1" applyAlignment="1">
      <alignment horizontal="center" vertical="center"/>
    </xf>
    <xf numFmtId="168" fontId="13" fillId="10" borderId="4" xfId="0" applyNumberFormat="1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1" fontId="16" fillId="10" borderId="12" xfId="5" applyNumberFormat="1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1" fontId="10" fillId="10" borderId="12" xfId="0" applyNumberFormat="1" applyFont="1" applyFill="1" applyBorder="1" applyAlignment="1">
      <alignment horizontal="center" vertical="center" wrapText="1"/>
    </xf>
    <xf numFmtId="1" fontId="10" fillId="10" borderId="0" xfId="0" applyNumberFormat="1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1" fontId="13" fillId="10" borderId="22" xfId="0" applyNumberFormat="1" applyFont="1" applyFill="1" applyBorder="1" applyAlignment="1">
      <alignment horizontal="center" vertical="center"/>
    </xf>
    <xf numFmtId="168" fontId="13" fillId="10" borderId="2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right" vertical="center"/>
    </xf>
    <xf numFmtId="164" fontId="26" fillId="10" borderId="1" xfId="0" applyNumberFormat="1" applyFont="1" applyFill="1" applyBorder="1" applyAlignment="1">
      <alignment horizontal="right" vertical="center"/>
    </xf>
    <xf numFmtId="165" fontId="16" fillId="10" borderId="0" xfId="1" applyNumberFormat="1" applyFont="1" applyFill="1" applyBorder="1" applyAlignment="1">
      <alignment horizontal="right" vertical="center"/>
    </xf>
    <xf numFmtId="3" fontId="16" fillId="10" borderId="0" xfId="1" applyNumberFormat="1" applyFont="1" applyFill="1" applyBorder="1" applyAlignment="1">
      <alignment horizontal="right" vertical="center"/>
    </xf>
    <xf numFmtId="3" fontId="26" fillId="10" borderId="1" xfId="0" applyNumberFormat="1" applyFont="1" applyFill="1" applyBorder="1" applyAlignment="1">
      <alignment horizontal="right" vertical="center"/>
    </xf>
    <xf numFmtId="3" fontId="16" fillId="10" borderId="3" xfId="1" applyNumberFormat="1" applyFont="1" applyFill="1" applyBorder="1" applyAlignment="1">
      <alignment horizontal="right" vertical="center"/>
    </xf>
    <xf numFmtId="3" fontId="10" fillId="10" borderId="0" xfId="1" applyNumberFormat="1" applyFont="1" applyFill="1" applyBorder="1" applyAlignment="1">
      <alignment horizontal="right" vertical="center"/>
    </xf>
    <xf numFmtId="165" fontId="10" fillId="10" borderId="0" xfId="1" applyNumberFormat="1" applyFont="1" applyFill="1" applyBorder="1" applyAlignment="1">
      <alignment horizontal="right" vertical="center"/>
    </xf>
    <xf numFmtId="165" fontId="6" fillId="10" borderId="0" xfId="1" applyNumberFormat="1" applyFont="1" applyFill="1" applyBorder="1" applyAlignment="1">
      <alignment horizontal="right" vertical="center"/>
    </xf>
    <xf numFmtId="165" fontId="6" fillId="10" borderId="6" xfId="1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13" fillId="10" borderId="2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2" fontId="13" fillId="10" borderId="6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8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68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8" fontId="13" fillId="0" borderId="1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8" fontId="12" fillId="0" borderId="12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3" fillId="0" borderId="11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3" fillId="0" borderId="20" xfId="0" applyNumberFormat="1" applyFont="1" applyBorder="1" applyAlignment="1">
      <alignment horizontal="center" vertical="center"/>
    </xf>
    <xf numFmtId="168" fontId="24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5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/>
    </xf>
    <xf numFmtId="16" fontId="10" fillId="0" borderId="25" xfId="0" applyNumberFormat="1" applyFont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1" fontId="0" fillId="0" borderId="0" xfId="0" applyNumberFormat="1" applyFill="1"/>
    <xf numFmtId="0" fontId="5" fillId="0" borderId="4" xfId="0" applyFont="1" applyFill="1" applyBorder="1" applyAlignment="1">
      <alignment horizontal="center" vertical="center"/>
    </xf>
    <xf numFmtId="166" fontId="10" fillId="0" borderId="5" xfId="1" applyNumberFormat="1" applyFont="1" applyFill="1" applyBorder="1" applyAlignment="1">
      <alignment horizontal="center" vertical="center"/>
    </xf>
    <xf numFmtId="168" fontId="12" fillId="0" borderId="12" xfId="0" applyNumberFormat="1" applyFont="1" applyFill="1" applyBorder="1" applyAlignment="1">
      <alignment horizontal="center" vertical="center"/>
    </xf>
    <xf numFmtId="168" fontId="12" fillId="0" borderId="8" xfId="0" applyNumberFormat="1" applyFont="1" applyFill="1" applyBorder="1" applyAlignment="1">
      <alignment horizontal="center" vertical="center"/>
    </xf>
    <xf numFmtId="168" fontId="12" fillId="0" borderId="0" xfId="0" applyNumberFormat="1" applyFont="1" applyFill="1" applyBorder="1" applyAlignment="1">
      <alignment horizontal="center" vertical="center"/>
    </xf>
    <xf numFmtId="0" fontId="2" fillId="0" borderId="0" xfId="15"/>
    <xf numFmtId="0" fontId="2" fillId="0" borderId="0" xfId="15" applyAlignment="1">
      <alignment horizontal="center" vertical="center" wrapText="1"/>
    </xf>
    <xf numFmtId="170" fontId="0" fillId="0" borderId="0" xfId="16" applyNumberFormat="1" applyFont="1"/>
    <xf numFmtId="0" fontId="6" fillId="0" borderId="0" xfId="4" applyFont="1" applyFill="1" applyBorder="1"/>
    <xf numFmtId="3" fontId="6" fillId="0" borderId="0" xfId="4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0" fontId="13" fillId="10" borderId="6" xfId="0" applyFont="1" applyFill="1" applyBorder="1" applyAlignment="1">
      <alignment vertical="center"/>
    </xf>
    <xf numFmtId="0" fontId="13" fillId="11" borderId="2" xfId="0" applyFont="1" applyFill="1" applyBorder="1" applyAlignment="1">
      <alignment vertical="center"/>
    </xf>
    <xf numFmtId="168" fontId="10" fillId="11" borderId="2" xfId="0" applyNumberFormat="1" applyFont="1" applyFill="1" applyBorder="1" applyAlignment="1">
      <alignment horizontal="center"/>
    </xf>
    <xf numFmtId="2" fontId="10" fillId="11" borderId="2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vertical="center"/>
    </xf>
    <xf numFmtId="165" fontId="5" fillId="10" borderId="3" xfId="1" applyNumberFormat="1" applyFont="1" applyFill="1" applyBorder="1" applyAlignment="1">
      <alignment horizontal="right" vertical="center"/>
    </xf>
    <xf numFmtId="0" fontId="5" fillId="11" borderId="2" xfId="0" applyFont="1" applyFill="1" applyBorder="1" applyAlignment="1">
      <alignment vertical="center"/>
    </xf>
    <xf numFmtId="166" fontId="5" fillId="11" borderId="2" xfId="1" applyNumberFormat="1" applyFont="1" applyFill="1" applyBorder="1" applyAlignment="1">
      <alignment horizontal="right" vertical="center"/>
    </xf>
    <xf numFmtId="4" fontId="5" fillId="10" borderId="3" xfId="1" applyNumberFormat="1" applyFont="1" applyFill="1" applyBorder="1" applyAlignment="1">
      <alignment horizontal="right" vertical="center"/>
    </xf>
    <xf numFmtId="4" fontId="5" fillId="11" borderId="2" xfId="1" applyNumberFormat="1" applyFont="1" applyFill="1" applyBorder="1" applyAlignment="1">
      <alignment horizontal="right" vertical="center"/>
    </xf>
    <xf numFmtId="0" fontId="42" fillId="0" borderId="0" xfId="0" applyFont="1"/>
    <xf numFmtId="166" fontId="5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43" fillId="0" borderId="0" xfId="0" applyFont="1"/>
    <xf numFmtId="166" fontId="0" fillId="0" borderId="0" xfId="0" applyNumberFormat="1"/>
    <xf numFmtId="3" fontId="6" fillId="0" borderId="3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0" fontId="23" fillId="0" borderId="0" xfId="0" applyFont="1" applyFill="1"/>
    <xf numFmtId="0" fontId="50" fillId="0" borderId="0" xfId="6" applyFont="1"/>
    <xf numFmtId="1" fontId="12" fillId="0" borderId="0" xfId="0" applyNumberFormat="1" applyFont="1" applyFill="1"/>
    <xf numFmtId="1" fontId="16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/>
    <xf numFmtId="2" fontId="10" fillId="0" borderId="2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6" fillId="3" borderId="2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center" vertical="center" wrapText="1"/>
    </xf>
    <xf numFmtId="169" fontId="12" fillId="0" borderId="12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168" fontId="0" fillId="0" borderId="0" xfId="0" applyNumberFormat="1" applyFill="1"/>
    <xf numFmtId="2" fontId="21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8" fontId="10" fillId="0" borderId="0" xfId="0" applyNumberFormat="1" applyFont="1" applyBorder="1" applyAlignment="1">
      <alignment horizontal="center" vertical="center"/>
    </xf>
    <xf numFmtId="168" fontId="13" fillId="10" borderId="0" xfId="0" applyNumberFormat="1" applyFont="1" applyFill="1" applyBorder="1" applyAlignment="1">
      <alignment horizontal="center"/>
    </xf>
    <xf numFmtId="168" fontId="12" fillId="10" borderId="12" xfId="0" applyNumberFormat="1" applyFont="1" applyFill="1" applyBorder="1" applyAlignment="1">
      <alignment horizontal="center"/>
    </xf>
    <xf numFmtId="168" fontId="13" fillId="10" borderId="22" xfId="0" applyNumberFormat="1" applyFont="1" applyFill="1" applyBorder="1" applyAlignment="1">
      <alignment horizontal="center"/>
    </xf>
    <xf numFmtId="168" fontId="13" fillId="10" borderId="21" xfId="0" applyNumberFormat="1" applyFont="1" applyFill="1" applyBorder="1" applyAlignment="1">
      <alignment horizontal="center"/>
    </xf>
    <xf numFmtId="168" fontId="13" fillId="10" borderId="6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2" fontId="13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10" fillId="0" borderId="0" xfId="0" applyNumberFormat="1" applyFont="1" applyFill="1" applyBorder="1"/>
    <xf numFmtId="168" fontId="10" fillId="0" borderId="0" xfId="0" applyNumberFormat="1" applyFont="1" applyAlignment="1">
      <alignment horizontal="center"/>
    </xf>
    <xf numFmtId="168" fontId="10" fillId="0" borderId="2" xfId="0" applyNumberFormat="1" applyFont="1" applyBorder="1" applyAlignment="1">
      <alignment horizontal="center" vertical="center"/>
    </xf>
    <xf numFmtId="2" fontId="10" fillId="0" borderId="0" xfId="0" applyNumberFormat="1" applyFont="1" applyBorder="1"/>
    <xf numFmtId="168" fontId="12" fillId="0" borderId="0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2" fillId="5" borderId="2" xfId="0" applyFont="1" applyFill="1" applyBorder="1" applyAlignment="1">
      <alignment vertical="center" wrapText="1"/>
    </xf>
    <xf numFmtId="168" fontId="12" fillId="0" borderId="2" xfId="0" applyNumberFormat="1" applyFont="1" applyFill="1" applyBorder="1" applyAlignment="1">
      <alignment horizontal="center"/>
    </xf>
    <xf numFmtId="2" fontId="10" fillId="0" borderId="2" xfId="0" applyNumberFormat="1" applyFont="1" applyBorder="1"/>
    <xf numFmtId="0" fontId="24" fillId="0" borderId="0" xfId="0" applyFont="1" applyAlignment="1">
      <alignment horizontal="right" vertical="center"/>
    </xf>
    <xf numFmtId="0" fontId="33" fillId="8" borderId="16" xfId="9" applyFont="1" applyFill="1" applyBorder="1" applyAlignment="1">
      <alignment horizontal="center" vertical="center"/>
    </xf>
    <xf numFmtId="0" fontId="33" fillId="8" borderId="17" xfId="9" applyFont="1" applyFill="1" applyBorder="1" applyAlignment="1">
      <alignment horizontal="center" vertical="center"/>
    </xf>
    <xf numFmtId="168" fontId="6" fillId="0" borderId="27" xfId="0" applyNumberFormat="1" applyFont="1" applyFill="1" applyBorder="1" applyAlignment="1">
      <alignment horizontal="center" vertical="center" wrapText="1"/>
    </xf>
    <xf numFmtId="168" fontId="6" fillId="0" borderId="28" xfId="0" applyNumberFormat="1" applyFont="1" applyFill="1" applyBorder="1" applyAlignment="1">
      <alignment horizontal="center" vertical="center" wrapText="1"/>
    </xf>
    <xf numFmtId="168" fontId="12" fillId="0" borderId="0" xfId="0" applyNumberFormat="1" applyFont="1" applyFill="1" applyAlignment="1">
      <alignment horizontal="center"/>
    </xf>
    <xf numFmtId="168" fontId="12" fillId="10" borderId="0" xfId="0" applyNumberFormat="1" applyFont="1" applyFill="1" applyBorder="1" applyAlignment="1">
      <alignment horizontal="center"/>
    </xf>
    <xf numFmtId="168" fontId="5" fillId="10" borderId="0" xfId="0" applyNumberFormat="1" applyFont="1" applyFill="1" applyAlignment="1">
      <alignment horizontal="center"/>
    </xf>
    <xf numFmtId="168" fontId="13" fillId="10" borderId="0" xfId="0" applyNumberFormat="1" applyFont="1" applyFill="1" applyAlignment="1">
      <alignment horizontal="center"/>
    </xf>
    <xf numFmtId="168" fontId="12" fillId="5" borderId="4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right" vertical="center"/>
    </xf>
    <xf numFmtId="0" fontId="41" fillId="3" borderId="0" xfId="0" applyFont="1" applyFill="1" applyAlignment="1">
      <alignment horizontal="center"/>
    </xf>
    <xf numFmtId="0" fontId="33" fillId="8" borderId="17" xfId="9" applyFont="1" applyFill="1" applyBorder="1" applyAlignment="1">
      <alignment horizontal="center" vertical="center"/>
    </xf>
    <xf numFmtId="0" fontId="6" fillId="0" borderId="2" xfId="0" applyFont="1" applyBorder="1"/>
    <xf numFmtId="4" fontId="10" fillId="0" borderId="0" xfId="0" applyNumberFormat="1" applyFont="1" applyAlignment="1">
      <alignment horizontal="right"/>
    </xf>
    <xf numFmtId="4" fontId="6" fillId="0" borderId="0" xfId="0" applyNumberFormat="1" applyFont="1"/>
    <xf numFmtId="4" fontId="10" fillId="0" borderId="0" xfId="0" applyNumberFormat="1" applyFont="1"/>
    <xf numFmtId="4" fontId="31" fillId="0" borderId="0" xfId="9" applyNumberFormat="1" applyFont="1" applyFill="1" applyBorder="1" applyAlignment="1" applyProtection="1"/>
    <xf numFmtId="4" fontId="33" fillId="4" borderId="16" xfId="9" applyNumberFormat="1" applyFont="1" applyFill="1" applyBorder="1" applyAlignment="1" applyProtection="1"/>
    <xf numFmtId="0" fontId="33" fillId="0" borderId="0" xfId="9" applyNumberFormat="1" applyFont="1" applyFill="1" applyBorder="1" applyAlignment="1" applyProtection="1"/>
    <xf numFmtId="4" fontId="36" fillId="0" borderId="16" xfId="9" applyNumberFormat="1" applyFont="1" applyFill="1" applyBorder="1" applyAlignment="1" applyProtection="1"/>
    <xf numFmtId="4" fontId="31" fillId="0" borderId="16" xfId="9" applyNumberFormat="1" applyFont="1" applyFill="1" applyBorder="1" applyAlignment="1" applyProtection="1"/>
    <xf numFmtId="0" fontId="31" fillId="0" borderId="0" xfId="9" applyFont="1" applyFill="1"/>
    <xf numFmtId="4" fontId="36" fillId="0" borderId="16" xfId="9" applyNumberFormat="1" applyFont="1" applyFill="1" applyBorder="1"/>
    <xf numFmtId="4" fontId="31" fillId="0" borderId="16" xfId="9" applyNumberFormat="1" applyFont="1" applyFill="1" applyBorder="1"/>
    <xf numFmtId="0" fontId="33" fillId="0" borderId="0" xfId="9" applyFont="1" applyFill="1"/>
    <xf numFmtId="4" fontId="35" fillId="8" borderId="7" xfId="7" applyNumberFormat="1" applyFont="1" applyFill="1" applyBorder="1" applyAlignment="1" applyProtection="1">
      <alignment horizontal="right" vertical="center"/>
      <protection locked="0"/>
    </xf>
    <xf numFmtId="4" fontId="36" fillId="12" borderId="16" xfId="9" applyNumberFormat="1" applyFont="1" applyFill="1" applyBorder="1" applyAlignment="1" applyProtection="1"/>
    <xf numFmtId="4" fontId="35" fillId="4" borderId="16" xfId="9" applyNumberFormat="1" applyFont="1" applyFill="1" applyBorder="1" applyAlignment="1" applyProtection="1"/>
    <xf numFmtId="4" fontId="31" fillId="12" borderId="16" xfId="9" applyNumberFormat="1" applyFont="1" applyFill="1" applyBorder="1" applyAlignment="1" applyProtection="1"/>
    <xf numFmtId="3" fontId="29" fillId="0" borderId="0" xfId="0" applyNumberFormat="1" applyFont="1"/>
    <xf numFmtId="3" fontId="31" fillId="0" borderId="0" xfId="9" applyNumberFormat="1" applyFont="1" applyFill="1" applyBorder="1" applyAlignment="1" applyProtection="1"/>
    <xf numFmtId="168" fontId="33" fillId="0" borderId="0" xfId="9" applyNumberFormat="1" applyFont="1" applyFill="1" applyBorder="1" applyAlignment="1" applyProtection="1"/>
    <xf numFmtId="170" fontId="35" fillId="8" borderId="17" xfId="11" applyNumberFormat="1" applyFont="1" applyFill="1" applyBorder="1" applyAlignment="1" applyProtection="1">
      <alignment horizontal="right" vertical="center"/>
      <protection locked="0"/>
    </xf>
    <xf numFmtId="10" fontId="35" fillId="8" borderId="10" xfId="11" applyNumberFormat="1" applyFont="1" applyFill="1" applyBorder="1" applyAlignment="1" applyProtection="1">
      <alignment horizontal="center" vertical="center"/>
      <protection locked="0"/>
    </xf>
    <xf numFmtId="0" fontId="25" fillId="0" borderId="32" xfId="0" applyFont="1" applyFill="1" applyBorder="1" applyAlignment="1">
      <alignment vertical="center"/>
    </xf>
    <xf numFmtId="0" fontId="52" fillId="0" borderId="0" xfId="0" applyFont="1" applyFill="1" applyBorder="1"/>
    <xf numFmtId="168" fontId="53" fillId="0" borderId="0" xfId="0" applyNumberFormat="1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168" fontId="52" fillId="0" borderId="0" xfId="0" applyNumberFormat="1" applyFont="1" applyFill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2" fillId="0" borderId="0" xfId="0" applyFont="1"/>
    <xf numFmtId="168" fontId="55" fillId="0" borderId="0" xfId="0" applyNumberFormat="1" applyFont="1" applyAlignment="1">
      <alignment vertical="center"/>
    </xf>
    <xf numFmtId="168" fontId="56" fillId="0" borderId="0" xfId="0" applyNumberFormat="1" applyFont="1" applyAlignment="1">
      <alignment vertical="center"/>
    </xf>
    <xf numFmtId="0" fontId="2" fillId="0" borderId="0" xfId="0" applyFont="1" applyAlignment="1"/>
    <xf numFmtId="0" fontId="55" fillId="0" borderId="0" xfId="0" applyFont="1" applyAlignment="1">
      <alignment vertical="center"/>
    </xf>
    <xf numFmtId="1" fontId="10" fillId="0" borderId="25" xfId="0" applyNumberFormat="1" applyFont="1" applyFill="1" applyBorder="1" applyAlignment="1">
      <alignment horizontal="center"/>
    </xf>
    <xf numFmtId="1" fontId="41" fillId="0" borderId="36" xfId="4" applyNumberFormat="1" applyFont="1" applyFill="1" applyBorder="1" applyAlignment="1">
      <alignment horizontal="center"/>
    </xf>
    <xf numFmtId="0" fontId="14" fillId="0" borderId="32" xfId="4" applyFont="1" applyFill="1" applyBorder="1"/>
    <xf numFmtId="0" fontId="10" fillId="0" borderId="32" xfId="0" applyFont="1" applyBorder="1"/>
    <xf numFmtId="0" fontId="10" fillId="0" borderId="2" xfId="0" applyFont="1" applyFill="1" applyBorder="1" applyAlignment="1">
      <alignment horizontal="left" vertical="center" wrapText="1" indent="1"/>
    </xf>
    <xf numFmtId="1" fontId="16" fillId="10" borderId="2" xfId="5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indent="2"/>
    </xf>
    <xf numFmtId="1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1" fontId="10" fillId="0" borderId="0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6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indent="2"/>
    </xf>
    <xf numFmtId="0" fontId="10" fillId="0" borderId="32" xfId="0" applyFont="1" applyFill="1" applyBorder="1"/>
    <xf numFmtId="1" fontId="16" fillId="0" borderId="32" xfId="5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6" fillId="0" borderId="2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13" fillId="0" borderId="32" xfId="1" applyNumberFormat="1" applyFont="1" applyFill="1" applyBorder="1" applyAlignment="1">
      <alignment horizontal="right" vertical="center"/>
    </xf>
    <xf numFmtId="3" fontId="13" fillId="10" borderId="32" xfId="1" applyNumberFormat="1" applyFont="1" applyFill="1" applyBorder="1" applyAlignment="1">
      <alignment horizontal="right" vertical="center"/>
    </xf>
    <xf numFmtId="3" fontId="10" fillId="0" borderId="32" xfId="1" applyNumberFormat="1" applyFont="1" applyFill="1" applyBorder="1" applyAlignment="1">
      <alignment horizontal="right" vertical="center"/>
    </xf>
    <xf numFmtId="3" fontId="10" fillId="10" borderId="32" xfId="1" applyNumberFormat="1" applyFont="1" applyFill="1" applyBorder="1" applyAlignment="1">
      <alignment horizontal="right" vertical="center"/>
    </xf>
    <xf numFmtId="166" fontId="6" fillId="0" borderId="32" xfId="1" applyNumberFormat="1" applyFont="1" applyFill="1" applyBorder="1" applyAlignment="1">
      <alignment horizontal="right" vertical="center"/>
    </xf>
    <xf numFmtId="166" fontId="6" fillId="10" borderId="32" xfId="1" applyNumberFormat="1" applyFont="1" applyFill="1" applyBorder="1" applyAlignment="1">
      <alignment horizontal="right" vertical="center"/>
    </xf>
    <xf numFmtId="168" fontId="13" fillId="10" borderId="12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vertical="center" wrapText="1"/>
    </xf>
    <xf numFmtId="0" fontId="16" fillId="0" borderId="0" xfId="3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1" fontId="16" fillId="0" borderId="0" xfId="4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" fontId="41" fillId="0" borderId="6" xfId="4" applyNumberFormat="1" applyFont="1" applyFill="1" applyBorder="1" applyAlignment="1">
      <alignment horizontal="center"/>
    </xf>
    <xf numFmtId="0" fontId="41" fillId="0" borderId="6" xfId="4" applyFont="1" applyFill="1" applyBorder="1"/>
    <xf numFmtId="0" fontId="13" fillId="0" borderId="9" xfId="0" applyFont="1" applyFill="1" applyBorder="1" applyAlignment="1">
      <alignment vertical="center"/>
    </xf>
    <xf numFmtId="0" fontId="6" fillId="0" borderId="9" xfId="4" applyFont="1" applyFill="1" applyBorder="1" applyAlignment="1">
      <alignment horizontal="center" vertical="center"/>
    </xf>
    <xf numFmtId="3" fontId="57" fillId="0" borderId="0" xfId="0" applyNumberFormat="1" applyFont="1" applyAlignment="1">
      <alignment horizontal="center" vertical="center" wrapText="1"/>
    </xf>
    <xf numFmtId="3" fontId="57" fillId="0" borderId="0" xfId="0" applyNumberFormat="1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168" fontId="6" fillId="0" borderId="39" xfId="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171" fontId="0" fillId="0" borderId="0" xfId="0" applyNumberFormat="1" applyFill="1"/>
    <xf numFmtId="4" fontId="10" fillId="0" borderId="0" xfId="1" applyNumberFormat="1" applyFont="1" applyFill="1" applyBorder="1" applyAlignment="1">
      <alignment horizontal="right" vertical="center"/>
    </xf>
    <xf numFmtId="4" fontId="10" fillId="10" borderId="0" xfId="1" applyNumberFormat="1" applyFont="1" applyFill="1" applyBorder="1" applyAlignment="1">
      <alignment horizontal="right" vertical="center"/>
    </xf>
    <xf numFmtId="4" fontId="10" fillId="0" borderId="0" xfId="0" applyNumberFormat="1" applyFont="1" applyFill="1"/>
    <xf numFmtId="2" fontId="10" fillId="0" borderId="0" xfId="0" applyNumberFormat="1" applyFont="1" applyFill="1"/>
    <xf numFmtId="0" fontId="10" fillId="0" borderId="2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1" fillId="3" borderId="0" xfId="0" applyFont="1" applyFill="1" applyAlignment="1">
      <alignment horizontal="center"/>
    </xf>
    <xf numFmtId="0" fontId="24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vertical="center"/>
    </xf>
    <xf numFmtId="0" fontId="11" fillId="0" borderId="32" xfId="4" applyFont="1" applyFill="1" applyBorder="1" applyAlignment="1">
      <alignment horizontal="center"/>
    </xf>
    <xf numFmtId="0" fontId="33" fillId="8" borderId="16" xfId="9" applyFont="1" applyFill="1" applyBorder="1" applyAlignment="1">
      <alignment horizontal="center" vertical="center" wrapText="1"/>
    </xf>
    <xf numFmtId="0" fontId="33" fillId="8" borderId="16" xfId="9" applyFont="1" applyFill="1" applyBorder="1" applyAlignment="1">
      <alignment horizontal="center" vertical="center"/>
    </xf>
    <xf numFmtId="0" fontId="33" fillId="8" borderId="17" xfId="9" applyFont="1" applyFill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51" fillId="0" borderId="6" xfId="0" applyFont="1" applyBorder="1" applyAlignment="1">
      <alignment horizontal="center" vertical="center" wrapText="1"/>
    </xf>
    <xf numFmtId="0" fontId="58" fillId="0" borderId="32" xfId="0" applyFont="1" applyBorder="1" applyAlignment="1">
      <alignment vertical="center"/>
    </xf>
    <xf numFmtId="3" fontId="58" fillId="0" borderId="32" xfId="0" applyNumberFormat="1" applyFont="1" applyBorder="1" applyAlignment="1">
      <alignment horizontal="center" vertical="center"/>
    </xf>
    <xf numFmtId="168" fontId="58" fillId="0" borderId="6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 indent="1"/>
    </xf>
    <xf numFmtId="3" fontId="51" fillId="0" borderId="0" xfId="0" applyNumberFormat="1" applyFont="1" applyAlignment="1">
      <alignment horizontal="center" vertical="center"/>
    </xf>
    <xf numFmtId="168" fontId="5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left" vertical="center" indent="1"/>
    </xf>
    <xf numFmtId="3" fontId="42" fillId="0" borderId="0" xfId="0" applyNumberFormat="1" applyFont="1" applyAlignment="1">
      <alignment horizontal="center" vertical="center"/>
    </xf>
    <xf numFmtId="168" fontId="42" fillId="0" borderId="0" xfId="0" applyNumberFormat="1" applyFont="1" applyAlignment="1">
      <alignment horizontal="center" vertical="center"/>
    </xf>
    <xf numFmtId="0" fontId="58" fillId="0" borderId="6" xfId="0" applyFont="1" applyBorder="1" applyAlignment="1">
      <alignment vertical="center"/>
    </xf>
    <xf numFmtId="3" fontId="58" fillId="0" borderId="6" xfId="0" applyNumberFormat="1" applyFont="1" applyBorder="1" applyAlignment="1">
      <alignment horizontal="center" vertical="center"/>
    </xf>
    <xf numFmtId="168" fontId="58" fillId="0" borderId="32" xfId="0" applyNumberFormat="1" applyFont="1" applyBorder="1" applyAlignment="1">
      <alignment horizontal="center" vertical="center"/>
    </xf>
    <xf numFmtId="168" fontId="59" fillId="0" borderId="0" xfId="0" applyNumberFormat="1" applyFont="1" applyAlignment="1">
      <alignment horizontal="center" vertical="center"/>
    </xf>
    <xf numFmtId="165" fontId="58" fillId="0" borderId="6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5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2" fillId="0" borderId="32" xfId="0" applyFont="1" applyBorder="1" applyAlignment="1">
      <alignment horizontal="left" vertical="center" indent="1"/>
    </xf>
    <xf numFmtId="3" fontId="42" fillId="0" borderId="32" xfId="0" applyNumberFormat="1" applyFont="1" applyBorder="1" applyAlignment="1">
      <alignment horizontal="center" vertical="center"/>
    </xf>
    <xf numFmtId="168" fontId="42" fillId="0" borderId="32" xfId="0" applyNumberFormat="1" applyFont="1" applyBorder="1" applyAlignment="1">
      <alignment horizontal="center" vertical="center"/>
    </xf>
  </cellXfs>
  <cellStyles count="26">
    <cellStyle name="Comma 2" xfId="22"/>
    <cellStyle name="Čiarka" xfId="1" builtinId="3"/>
    <cellStyle name="Čiarka 2" xfId="8"/>
    <cellStyle name="Čiarka 3" xfId="18"/>
    <cellStyle name="Hypertextové prepojenie" xfId="6" builtinId="8"/>
    <cellStyle name="Neutrálna" xfId="2" builtinId="28"/>
    <cellStyle name="Normal 10" xfId="24"/>
    <cellStyle name="Normal 17" xfId="23"/>
    <cellStyle name="Normal 2" xfId="3"/>
    <cellStyle name="Normal 2 2" xfId="21"/>
    <cellStyle name="Normal_1.1" xfId="20"/>
    <cellStyle name="Normal_TAB2 2" xfId="13"/>
    <cellStyle name="Normálna 11" xfId="5"/>
    <cellStyle name="Normálna 2 2" xfId="7"/>
    <cellStyle name="Normálna 3" xfId="10"/>
    <cellStyle name="Normálne" xfId="0" builtinId="0"/>
    <cellStyle name="normálne 10" xfId="9"/>
    <cellStyle name="Normálne 2" xfId="4"/>
    <cellStyle name="Normálne 2 3" xfId="12"/>
    <cellStyle name="Normálne 3" xfId="15"/>
    <cellStyle name="Normálne 4" xfId="17"/>
    <cellStyle name="Normálne 5" xfId="25"/>
    <cellStyle name="normálne 9_Tabulky IFP_casove rady-request_20111102_" xfId="14"/>
    <cellStyle name="Percentá" xfId="16" builtinId="5"/>
    <cellStyle name="Percentá 2" xfId="19"/>
    <cellStyle name="Percentá 2 2" xfId="11"/>
  </cellStyles>
  <dxfs count="0"/>
  <tableStyles count="0" defaultTableStyle="TableStyleMedium2" defaultPivotStyle="PivotStyleMedium9"/>
  <colors>
    <mruColors>
      <color rgb="FFFBE19F"/>
      <color rgb="FFF2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61" Type="http://schemas.openxmlformats.org/officeDocument/2006/relationships/externalLink" Target="externalLinks/externalLink4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'ŠS_základné hodnotenie'!$B$19</c:f>
              <c:strCache>
                <c:ptCount val="1"/>
                <c:pt idx="0">
                  <c:v>Požadovaná medziročná zmena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'ŠS_základné hodnotenie'!$D$19</c:f>
              <c:numCache>
                <c:formatCode>0.0</c:formatCode>
                <c:ptCount val="1"/>
                <c:pt idx="0">
                  <c:v>0.47416600299667222</c:v>
                </c:pt>
              </c:numCache>
            </c:numRef>
          </c:val>
        </c:ser>
        <c:ser>
          <c:idx val="1"/>
          <c:order val="1"/>
          <c:tx>
            <c:v>Dosiahnuté konsolidačné úsilie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'ŠS_základné hodnotenie'!$G$12</c:f>
              <c:numCache>
                <c:formatCode>0.0</c:formatCode>
                <c:ptCount val="1"/>
                <c:pt idx="0">
                  <c:v>0.58566263291723286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413430080"/>
        <c:axId val="413430864"/>
      </c:barChart>
      <c:catAx>
        <c:axId val="41343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413430864"/>
        <c:crosses val="autoZero"/>
        <c:auto val="1"/>
        <c:lblAlgn val="ctr"/>
        <c:lblOffset val="100"/>
        <c:noMultiLvlLbl val="0"/>
      </c:catAx>
      <c:valAx>
        <c:axId val="413430864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41343008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8661417322839E-2"/>
          <c:y val="8.6813002618551863E-2"/>
          <c:w val="0.79301273171588382"/>
          <c:h val="0.86226119216743835"/>
        </c:manualLayout>
      </c:layout>
      <c:barChart>
        <c:barDir val="col"/>
        <c:grouping val="clustered"/>
        <c:varyColors val="0"/>
        <c:ser>
          <c:idx val="0"/>
          <c:order val="0"/>
          <c:tx>
            <c:v>Štruktuálne saldo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'ŠS_základné hodnotenie'!$C$33:$D$33</c:f>
              <c:strCache>
                <c:ptCount val="2"/>
                <c:pt idx="0">
                  <c:v>Jún</c:v>
                </c:pt>
                <c:pt idx="1">
                  <c:v>November</c:v>
                </c:pt>
              </c:strCache>
            </c:strRef>
          </c:cat>
          <c:val>
            <c:numRef>
              <c:f>'ŠS_základné hodnotenie'!$C$37:$D$37</c:f>
              <c:numCache>
                <c:formatCode>0.0</c:formatCode>
                <c:ptCount val="2"/>
                <c:pt idx="0">
                  <c:v>-1.1319412514910507</c:v>
                </c:pt>
                <c:pt idx="1">
                  <c:v>-0.8626693730761118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56"/>
        <c:axId val="413431648"/>
        <c:axId val="413432040"/>
      </c:barChart>
      <c:catAx>
        <c:axId val="413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13432040"/>
        <c:crosses val="autoZero"/>
        <c:auto val="1"/>
        <c:lblAlgn val="ctr"/>
        <c:lblOffset val="100"/>
        <c:noMultiLvlLbl val="0"/>
      </c:catAx>
      <c:valAx>
        <c:axId val="41343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1343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796563437370595"/>
          <c:y val="0"/>
          <c:w val="0.40674225106971768"/>
          <c:h val="0.99713774728739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'ŠS_základné hodnotenie'!$E$33</c:f>
              <c:strCache>
                <c:ptCount val="1"/>
                <c:pt idx="0">
                  <c:v>Porovnanie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'ŠS_základné hodnotenie'!$B$34:$B$36</c:f>
              <c:strCache>
                <c:ptCount val="3"/>
                <c:pt idx="0">
                  <c:v>Nominálne saldo</c:v>
                </c:pt>
                <c:pt idx="1">
                  <c:v>Cyklická zložka</c:v>
                </c:pt>
                <c:pt idx="2">
                  <c:v>Jednorazové efekty</c:v>
                </c:pt>
              </c:strCache>
            </c:strRef>
          </c:cat>
          <c:val>
            <c:numRef>
              <c:f>'ŠS_základné hodnotenie'!$E$34:$E$36</c:f>
              <c:numCache>
                <c:formatCode>0.00</c:formatCode>
                <c:ptCount val="3"/>
                <c:pt idx="0">
                  <c:v>0.27333261888841665</c:v>
                </c:pt>
                <c:pt idx="1">
                  <c:v>1.3726242732852487E-2</c:v>
                </c:pt>
                <c:pt idx="2">
                  <c:v>-1.778698320633007E-2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56"/>
        <c:axId val="413433216"/>
        <c:axId val="413432824"/>
      </c:barChart>
      <c:valAx>
        <c:axId val="41343282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13433216"/>
        <c:crosses val="autoZero"/>
        <c:crossBetween val="between"/>
      </c:valAx>
      <c:catAx>
        <c:axId val="413433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13432824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v>zelena</c:v>
          </c:tx>
          <c:spPr>
            <a:solidFill>
              <a:schemeClr val="accent3"/>
            </a:solidFill>
          </c:spPr>
          <c:cat>
            <c:numRef>
              <c:f>'[57]ŠS_základné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hodnotenie'!$Z$6:$AD$6</c:f>
              <c:numCache>
                <c:formatCode>0.0</c:formatCode>
                <c:ptCount val="5"/>
                <c:pt idx="0">
                  <c:v>-2.3966640119866889</c:v>
                </c:pt>
                <c:pt idx="1">
                  <c:v>-1.9224980089900168</c:v>
                </c:pt>
                <c:pt idx="2">
                  <c:v>-1.4483320059933447</c:v>
                </c:pt>
                <c:pt idx="3">
                  <c:v>-0.97416600299667244</c:v>
                </c:pt>
                <c:pt idx="4">
                  <c:v>-0.50000000000000022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94-4DDA-8786-45EF727FFF11}"/>
            </c:ext>
          </c:extLst>
        </c:ser>
        <c:ser>
          <c:idx val="3"/>
          <c:order val="3"/>
          <c:tx>
            <c:v>biela</c:v>
          </c:tx>
          <c:spPr>
            <a:noFill/>
          </c:spPr>
          <c:cat>
            <c:numRef>
              <c:f>'[57]ŠS_základné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hodnotenie'!$Z$8:$AD$8</c:f>
              <c:numCache>
                <c:formatCode>General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94-4DDA-8786-45EF727FFF11}"/>
            </c:ext>
          </c:extLst>
        </c:ser>
        <c:ser>
          <c:idx val="4"/>
          <c:order val="4"/>
          <c:tx>
            <c:v>cervena 2019</c:v>
          </c:tx>
          <c:spPr>
            <a:solidFill>
              <a:srgbClr val="F9C9BA"/>
            </a:solidFill>
          </c:spPr>
          <c:cat>
            <c:numRef>
              <c:f>'[57]ŠS_základné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hodnotenie'!$Z$7:$AD$7</c:f>
              <c:numCache>
                <c:formatCode>0.0</c:formatCode>
                <c:ptCount val="5"/>
                <c:pt idx="0">
                  <c:v>-1</c:v>
                </c:pt>
                <c:pt idx="1">
                  <c:v>-1.4741660029966721</c:v>
                </c:pt>
                <c:pt idx="2">
                  <c:v>-1.9483320059933442</c:v>
                </c:pt>
                <c:pt idx="3">
                  <c:v>-2.4224980089900163</c:v>
                </c:pt>
                <c:pt idx="4">
                  <c:v>-2.8966640119866884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94-4DDA-8786-45EF727F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34000"/>
        <c:axId val="413434392"/>
      </c:areaChart>
      <c:lineChart>
        <c:grouping val="standard"/>
        <c:varyColors val="0"/>
        <c:ser>
          <c:idx val="2"/>
          <c:order val="0"/>
          <c:tx>
            <c:strRef>
              <c:f>'ŠS_základné hodnotenie'!$B$18</c:f>
              <c:strCache>
                <c:ptCount val="1"/>
                <c:pt idx="0">
                  <c:v>Rovnomerná cesta k MTO 2019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noFill/>
                <a:prstDash val="dash"/>
              </a:ln>
            </c:spPr>
          </c:marker>
          <c:dLbls>
            <c:numFmt formatCode="#,##0.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hodnotenie'!$C$18:$G$18</c:f>
              <c:numCache>
                <c:formatCode>0.0</c:formatCode>
                <c:ptCount val="5"/>
                <c:pt idx="0">
                  <c:v>-2.3966640119866889</c:v>
                </c:pt>
                <c:pt idx="1">
                  <c:v>-1.9224980089900168</c:v>
                </c:pt>
                <c:pt idx="2">
                  <c:v>-1.4483320059933447</c:v>
                </c:pt>
                <c:pt idx="3">
                  <c:v>-0.97416600299667244</c:v>
                </c:pt>
                <c:pt idx="4">
                  <c:v>-0.5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94-4DDA-8786-45EF727FFF11}"/>
            </c:ext>
          </c:extLst>
        </c:ser>
        <c:ser>
          <c:idx val="1"/>
          <c:order val="1"/>
          <c:tx>
            <c:v>Štrukturálne saldo</c:v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bg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E94-4DDA-8786-45EF727FFF11}"/>
              </c:ext>
            </c:extLst>
          </c:dPt>
          <c:dPt>
            <c:idx val="2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E94-4DDA-8786-45EF727FFF11}"/>
              </c:ext>
            </c:extLst>
          </c:dPt>
          <c:dPt>
            <c:idx val="3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E94-4DDA-8786-45EF727FFF11}"/>
              </c:ext>
            </c:extLst>
          </c:dPt>
          <c:dPt>
            <c:idx val="4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E94-4DDA-8786-45EF727FFF11}"/>
              </c:ext>
            </c:extLst>
          </c:dPt>
          <c:dLbls>
            <c:dLbl>
              <c:idx val="0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C-EE94-4DDA-8786-45EF727FFF1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87308178700839E-2"/>
                  <c:y val="1.1042611914061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94-4DDA-8786-45EF727FFF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0357920848103245E-3"/>
                  <c:y val="1.1042611914061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94-4DDA-8786-45EF727FFF1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hodnotenie'!$E$9:$G$9</c:f>
              <c:numCache>
                <c:formatCode>0.0</c:formatCode>
                <c:ptCount val="3"/>
                <c:pt idx="0">
                  <c:v>-2.3966640119866889</c:v>
                </c:pt>
                <c:pt idx="1">
                  <c:v>-1.9227956700912099</c:v>
                </c:pt>
                <c:pt idx="2">
                  <c:v>-0.8626693730761118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E94-4DDA-8786-45EF727F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34000"/>
        <c:axId val="413434392"/>
      </c:lineChart>
      <c:catAx>
        <c:axId val="413434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crossAx val="413434392"/>
        <c:crosses val="autoZero"/>
        <c:auto val="1"/>
        <c:lblAlgn val="ctr"/>
        <c:lblOffset val="100"/>
        <c:noMultiLvlLbl val="0"/>
      </c:catAx>
      <c:valAx>
        <c:axId val="413434392"/>
        <c:scaling>
          <c:orientation val="minMax"/>
          <c:min val="-3"/>
        </c:scaling>
        <c:delete val="0"/>
        <c:axPos val="l"/>
        <c:numFmt formatCode="0.00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413434000"/>
        <c:crosses val="autoZero"/>
        <c:crossBetween val="between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1060399543353681E-2"/>
          <c:y val="3.3517558025785584E-3"/>
          <c:w val="0.84448303048683449"/>
          <c:h val="6.167066848835327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8661417322839E-2"/>
          <c:y val="8.6813002618551863E-2"/>
          <c:w val="0.79301273171588382"/>
          <c:h val="0.86226119216743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'VP_základné hodnotenie'!$I$7</c:f>
              <c:strCache>
                <c:ptCount val="1"/>
                <c:pt idx="0">
                  <c:v>Odchýlka od výdavkového pravidla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'VP_základné hodnotenie'!$M$6:$N$6</c:f>
              <c:strCache>
                <c:ptCount val="2"/>
                <c:pt idx="0">
                  <c:v>Jún</c:v>
                </c:pt>
                <c:pt idx="1">
                  <c:v>November</c:v>
                </c:pt>
              </c:strCache>
            </c:strRef>
          </c:cat>
          <c:val>
            <c:numRef>
              <c:f>'VP_základné hodnotenie'!$M$7:$N$7</c:f>
              <c:numCache>
                <c:formatCode>#,##0.00</c:formatCode>
                <c:ptCount val="2"/>
                <c:pt idx="0">
                  <c:v>0.20510230243651301</c:v>
                </c:pt>
                <c:pt idx="1">
                  <c:v>0.52580517369434676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56"/>
        <c:axId val="413435568"/>
        <c:axId val="413435960"/>
      </c:barChart>
      <c:catAx>
        <c:axId val="41343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13435960"/>
        <c:crosses val="autoZero"/>
        <c:auto val="1"/>
        <c:lblAlgn val="ctr"/>
        <c:lblOffset val="100"/>
        <c:noMultiLvlLbl val="0"/>
      </c:catAx>
      <c:valAx>
        <c:axId val="41343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1343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69524396973224"/>
          <c:y val="0"/>
          <c:w val="0.29943050578972413"/>
          <c:h val="0.99713774728739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'ŠS_základné hodnotenie'!$E$33</c:f>
              <c:strCache>
                <c:ptCount val="1"/>
                <c:pt idx="0">
                  <c:v>Porovnanie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-4.9505012517198459E-3"/>
                  <c:y val="-5.2850482341062115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'VP_základné hodnotenie'!$I$10:$I$12</c:f>
              <c:strCache>
                <c:ptCount val="3"/>
                <c:pt idx="0">
                  <c:v>Zmena DRM* v roku 2017</c:v>
                </c:pt>
                <c:pt idx="1">
                  <c:v>Revízia výdavkov v roku 2017 </c:v>
                </c:pt>
                <c:pt idx="2">
                  <c:v>Revízia výdavkov v roku 2016</c:v>
                </c:pt>
              </c:strCache>
            </c:strRef>
          </c:cat>
          <c:val>
            <c:numRef>
              <c:f>'VP_základné hodnotenie'!$N$10:$N$12</c:f>
              <c:numCache>
                <c:formatCode>#,##0.00</c:formatCode>
                <c:ptCount val="3"/>
                <c:pt idx="0">
                  <c:v>1.5952799041292542E-2</c:v>
                </c:pt>
                <c:pt idx="1">
                  <c:v>0.28500518069630182</c:v>
                </c:pt>
                <c:pt idx="2" formatCode="0.00">
                  <c:v>1.9744891520239401E-2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56"/>
        <c:axId val="163829104"/>
        <c:axId val="163828712"/>
      </c:barChart>
      <c:valAx>
        <c:axId val="163828712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163829104"/>
        <c:crosses val="autoZero"/>
        <c:crossBetween val="between"/>
      </c:valAx>
      <c:catAx>
        <c:axId val="16382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63828712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22431E3-F652-450A-A5C9-DB6EB1F52F1D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225FB4F4-B05F-4404-AE49-A74128184DE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sk-SK" sz="1100" b="1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r>
            <a:rPr lang="en-GB" sz="1100" b="1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gm:t>
    </dgm:pt>
    <dgm:pt modelId="{901F6B35-512A-4191-85E2-08D1D16FC0BB}" type="parTrans" cxnId="{B14AF7D6-2819-4BD5-97EF-F46EA42D8045}">
      <dgm:prSet/>
      <dgm:spPr/>
      <dgm:t>
        <a:bodyPr/>
        <a:lstStyle/>
        <a:p>
          <a:endParaRPr lang="en-GB"/>
        </a:p>
      </dgm:t>
    </dgm:pt>
    <dgm:pt modelId="{4073C2F4-5B30-416E-9161-CDAFEDBBD4CA}" type="sibTrans" cxnId="{B14AF7D6-2819-4BD5-97EF-F46EA42D8045}">
      <dgm:prSet/>
      <dgm:spPr/>
      <dgm:t>
        <a:bodyPr/>
        <a:lstStyle/>
        <a:p>
          <a:endParaRPr lang="en-GB"/>
        </a:p>
      </dgm:t>
    </dgm:pt>
    <dgm:pt modelId="{3522F71B-1902-4747-86B5-164C09C45A13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5A81169D-3BAC-47B7-A85F-4C7E8FBFCDC8}" type="parTrans" cxnId="{9B2862E2-C66F-4E1A-8B61-FB20844E1853}">
      <dgm:prSet/>
      <dgm:spPr/>
      <dgm:t>
        <a:bodyPr/>
        <a:lstStyle/>
        <a:p>
          <a:endParaRPr lang="en-GB"/>
        </a:p>
      </dgm:t>
    </dgm:pt>
    <dgm:pt modelId="{D7BDC7F3-444C-4F00-9A17-4D68CF96FA0A}" type="sibTrans" cxnId="{9B2862E2-C66F-4E1A-8B61-FB20844E1853}">
      <dgm:prSet/>
      <dgm:spPr/>
      <dgm:t>
        <a:bodyPr/>
        <a:lstStyle/>
        <a:p>
          <a:endParaRPr lang="en-GB"/>
        </a:p>
      </dgm:t>
    </dgm:pt>
    <dgm:pt modelId="{56C9DD36-AB29-47FF-8657-A57BBF5FDAB4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C20F11C3-9AC9-4F88-A959-8853CC89DC24}" type="parTrans" cxnId="{A2406749-0E0F-4BD8-ADA9-5E9A34D919E1}">
      <dgm:prSet/>
      <dgm:spPr/>
      <dgm:t>
        <a:bodyPr/>
        <a:lstStyle/>
        <a:p>
          <a:endParaRPr lang="en-GB"/>
        </a:p>
      </dgm:t>
    </dgm:pt>
    <dgm:pt modelId="{E4E46700-C4EF-4584-BBA8-DBCF89D4AEF4}" type="sibTrans" cxnId="{A2406749-0E0F-4BD8-ADA9-5E9A34D919E1}">
      <dgm:prSet/>
      <dgm:spPr/>
      <dgm:t>
        <a:bodyPr/>
        <a:lstStyle/>
        <a:p>
          <a:endParaRPr lang="en-GB"/>
        </a:p>
      </dgm:t>
    </dgm:pt>
    <dgm:pt modelId="{7578C0CB-E0A7-422F-8175-2DC21573B8CE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62F331EC-8B43-4E43-90D4-E163F873BD51}" type="parTrans" cxnId="{F6A84B12-86E1-48E9-86E0-6D6006DF3DCB}">
      <dgm:prSet/>
      <dgm:spPr/>
      <dgm:t>
        <a:bodyPr/>
        <a:lstStyle/>
        <a:p>
          <a:endParaRPr lang="en-GB"/>
        </a:p>
      </dgm:t>
    </dgm:pt>
    <dgm:pt modelId="{AF709489-D6E6-4564-83BB-7C7AF7D626D8}" type="sibTrans" cxnId="{F6A84B12-86E1-48E9-86E0-6D6006DF3DCB}">
      <dgm:prSet/>
      <dgm:spPr/>
      <dgm:t>
        <a:bodyPr/>
        <a:lstStyle/>
        <a:p>
          <a:endParaRPr lang="en-GB"/>
        </a:p>
      </dgm:t>
    </dgm:pt>
    <dgm:pt modelId="{99EB1FCC-C5B5-4845-8E89-A1C4CCD58D90}">
      <dgm:prSet phldrT="[Text]" custT="1"/>
      <dgm:spPr>
        <a:solidFill>
          <a:schemeClr val="accent6">
            <a:lumMod val="90000"/>
          </a:schemeClr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gm:t>
    </dgm:pt>
    <dgm:pt modelId="{87DB2F6F-6944-4C17-BF55-0A961C6B71FE}" type="parTrans" cxnId="{2BFFA48E-43D5-4AC2-A2E6-0B7A24DAA357}">
      <dgm:prSet/>
      <dgm:spPr/>
      <dgm:t>
        <a:bodyPr/>
        <a:lstStyle/>
        <a:p>
          <a:endParaRPr lang="en-GB"/>
        </a:p>
      </dgm:t>
    </dgm:pt>
    <dgm:pt modelId="{C25B55F1-2AEE-4179-9434-93136E5B4E41}" type="sibTrans" cxnId="{2BFFA48E-43D5-4AC2-A2E6-0B7A24DAA357}">
      <dgm:prSet/>
      <dgm:spPr/>
      <dgm:t>
        <a:bodyPr/>
        <a:lstStyle/>
        <a:p>
          <a:endParaRPr lang="en-GB"/>
        </a:p>
      </dgm:t>
    </dgm:pt>
    <dgm:pt modelId="{3DC0A765-48C6-4B7B-9E3C-F745DC69F67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3C6FD89E-2C82-4B83-9A3E-57912346DE72}" type="parTrans" cxnId="{E5029913-89D0-4570-87DC-A9A8BEB17A7C}">
      <dgm:prSet/>
      <dgm:spPr/>
      <dgm:t>
        <a:bodyPr/>
        <a:lstStyle/>
        <a:p>
          <a:endParaRPr lang="en-GB"/>
        </a:p>
      </dgm:t>
    </dgm:pt>
    <dgm:pt modelId="{64A46697-9BEE-46A3-A4DE-36312DA34F75}" type="sibTrans" cxnId="{E5029913-89D0-4570-87DC-A9A8BEB17A7C}">
      <dgm:prSet/>
      <dgm:spPr/>
      <dgm:t>
        <a:bodyPr/>
        <a:lstStyle/>
        <a:p>
          <a:endParaRPr lang="en-GB"/>
        </a:p>
      </dgm:t>
    </dgm:pt>
    <dgm:pt modelId="{898EDE30-912D-4E6E-A990-33FA08867E02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B8B64441-DA94-4A1C-8BE5-D157752D9A0C}" type="parTrans" cxnId="{B94E5D76-0910-4D69-A49D-95A9EC30DA86}">
      <dgm:prSet/>
      <dgm:spPr/>
      <dgm:t>
        <a:bodyPr/>
        <a:lstStyle/>
        <a:p>
          <a:endParaRPr lang="en-GB"/>
        </a:p>
      </dgm:t>
    </dgm:pt>
    <dgm:pt modelId="{77B90006-29CF-4624-ADF2-CBC4B2E27F82}" type="sibTrans" cxnId="{B94E5D76-0910-4D69-A49D-95A9EC30DA86}">
      <dgm:prSet/>
      <dgm:spPr/>
      <dgm:t>
        <a:bodyPr/>
        <a:lstStyle/>
        <a:p>
          <a:endParaRPr lang="en-GB"/>
        </a:p>
      </dgm:t>
    </dgm:pt>
    <dgm:pt modelId="{F5F77618-F4D0-4518-AEB4-694D85DDEBBB}">
      <dgm:prSet phldrT="[Text]" custT="1"/>
      <dgm:spPr>
        <a:solidFill>
          <a:schemeClr val="accent3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gm:t>
    </dgm:pt>
    <dgm:pt modelId="{2B3ABAFB-88DE-444B-AFEE-1EDC67EF7753}" type="parTrans" cxnId="{F49009AC-27D1-43D0-8C02-D0200274B230}">
      <dgm:prSet/>
      <dgm:spPr/>
      <dgm:t>
        <a:bodyPr/>
        <a:lstStyle/>
        <a:p>
          <a:endParaRPr lang="en-GB"/>
        </a:p>
      </dgm:t>
    </dgm:pt>
    <dgm:pt modelId="{0A4A8B38-3485-43E9-8C62-CF0E95D7E65F}" type="sibTrans" cxnId="{F49009AC-27D1-43D0-8C02-D0200274B230}">
      <dgm:prSet/>
      <dgm:spPr/>
      <dgm:t>
        <a:bodyPr/>
        <a:lstStyle/>
        <a:p>
          <a:endParaRPr lang="en-GB"/>
        </a:p>
      </dgm:t>
    </dgm:pt>
    <dgm:pt modelId="{5274CD34-B18E-4384-A92C-63385106B91B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7715A042-AFCB-475D-A5D7-0CB34AE4F885}" type="parTrans" cxnId="{1C4BE021-DAF1-4745-8237-7E72D86721DE}">
      <dgm:prSet/>
      <dgm:spPr/>
      <dgm:t>
        <a:bodyPr/>
        <a:lstStyle/>
        <a:p>
          <a:endParaRPr lang="en-GB"/>
        </a:p>
      </dgm:t>
    </dgm:pt>
    <dgm:pt modelId="{2373CA0F-0A2D-4767-88E5-5E26A6956AFB}" type="sibTrans" cxnId="{1C4BE021-DAF1-4745-8237-7E72D86721DE}">
      <dgm:prSet/>
      <dgm:spPr/>
      <dgm:t>
        <a:bodyPr/>
        <a:lstStyle/>
        <a:p>
          <a:endParaRPr lang="en-GB"/>
        </a:p>
      </dgm:t>
    </dgm:pt>
    <dgm:pt modelId="{E3A46E4E-3312-4E63-9A30-202A307CFAA4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AA785A4A-D020-49C1-8FC0-F5C688C5BFFA}" type="parTrans" cxnId="{9422F25C-9039-4B17-A841-852C8ADE2C5A}">
      <dgm:prSet/>
      <dgm:spPr/>
      <dgm:t>
        <a:bodyPr/>
        <a:lstStyle/>
        <a:p>
          <a:endParaRPr lang="en-GB"/>
        </a:p>
      </dgm:t>
    </dgm:pt>
    <dgm:pt modelId="{A9FBDB18-2963-4234-9816-8C05679F6FDF}" type="sibTrans" cxnId="{9422F25C-9039-4B17-A841-852C8ADE2C5A}">
      <dgm:prSet/>
      <dgm:spPr/>
      <dgm:t>
        <a:bodyPr/>
        <a:lstStyle/>
        <a:p>
          <a:endParaRPr lang="en-GB"/>
        </a:p>
      </dgm:t>
    </dgm:pt>
    <dgm:pt modelId="{638B6127-7C67-4330-9D6E-26E33E4EFBB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22747425-CF91-4A93-BDA8-F122BEF49589}" type="parTrans" cxnId="{EC1DBA00-5CC9-416D-96A0-24578A680D5C}">
      <dgm:prSet/>
      <dgm:spPr/>
      <dgm:t>
        <a:bodyPr/>
        <a:lstStyle/>
        <a:p>
          <a:endParaRPr lang="en-GB"/>
        </a:p>
      </dgm:t>
    </dgm:pt>
    <dgm:pt modelId="{35518771-FC55-477C-B15D-9BD1C2EE8498}" type="sibTrans" cxnId="{EC1DBA00-5CC9-416D-96A0-24578A680D5C}">
      <dgm:prSet/>
      <dgm:spPr/>
      <dgm:t>
        <a:bodyPr/>
        <a:lstStyle/>
        <a:p>
          <a:endParaRPr lang="en-GB"/>
        </a:p>
      </dgm:t>
    </dgm:pt>
    <dgm:pt modelId="{459D8DFB-BCB9-4A06-A933-2F3116BF810F}">
      <dgm:prSet phldrT="[Text]" custT="1"/>
      <dgm:spPr>
        <a:solidFill>
          <a:srgbClr val="FBE19F"/>
        </a:solidFill>
      </dgm:spPr>
      <dgm:t>
        <a:bodyPr/>
        <a:lstStyle/>
        <a:p>
          <a:pPr algn="ctr"/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228664D5-F83D-437B-816F-C95FF548DB66}" type="parTrans" cxnId="{B4C6FC14-E25E-4237-93B6-4B8098C3EF9C}">
      <dgm:prSet/>
      <dgm:spPr/>
      <dgm:t>
        <a:bodyPr/>
        <a:lstStyle/>
        <a:p>
          <a:endParaRPr lang="en-GB"/>
        </a:p>
      </dgm:t>
    </dgm:pt>
    <dgm:pt modelId="{E223857F-4F89-46C9-9DFC-ED7390A47CB3}" type="sibTrans" cxnId="{B4C6FC14-E25E-4237-93B6-4B8098C3EF9C}">
      <dgm:prSet/>
      <dgm:spPr/>
      <dgm:t>
        <a:bodyPr/>
        <a:lstStyle/>
        <a:p>
          <a:endParaRPr lang="en-GB"/>
        </a:p>
      </dgm:t>
    </dgm:pt>
    <dgm:pt modelId="{B9A2188C-E761-4386-9226-476565BC05CA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B78D5D69-4F53-4764-8B74-13CE52737739}" type="parTrans" cxnId="{180AEAE4-6FF1-44E8-A228-3864FD4014E1}">
      <dgm:prSet/>
      <dgm:spPr/>
      <dgm:t>
        <a:bodyPr/>
        <a:lstStyle/>
        <a:p>
          <a:endParaRPr lang="en-GB"/>
        </a:p>
      </dgm:t>
    </dgm:pt>
    <dgm:pt modelId="{76DF266C-788B-4501-A173-029477ED0F30}" type="sibTrans" cxnId="{180AEAE4-6FF1-44E8-A228-3864FD4014E1}">
      <dgm:prSet/>
      <dgm:spPr/>
      <dgm:t>
        <a:bodyPr/>
        <a:lstStyle/>
        <a:p>
          <a:endParaRPr lang="en-GB"/>
        </a:p>
      </dgm:t>
    </dgm:pt>
    <dgm:pt modelId="{40C8C039-6B94-445F-81C2-A575B5D79E73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95FB0625-3531-49BC-9AEB-A50F7C16A72B}" type="parTrans" cxnId="{504F050F-AAF7-4587-B131-F7F9CA604036}">
      <dgm:prSet/>
      <dgm:spPr/>
      <dgm:t>
        <a:bodyPr/>
        <a:lstStyle/>
        <a:p>
          <a:endParaRPr lang="en-GB"/>
        </a:p>
      </dgm:t>
    </dgm:pt>
    <dgm:pt modelId="{E46C49A5-AA10-44DB-A61E-DDFC5444A19A}" type="sibTrans" cxnId="{504F050F-AAF7-4587-B131-F7F9CA604036}">
      <dgm:prSet/>
      <dgm:spPr/>
      <dgm:t>
        <a:bodyPr/>
        <a:lstStyle/>
        <a:p>
          <a:endParaRPr lang="en-GB"/>
        </a:p>
      </dgm:t>
    </dgm:pt>
    <dgm:pt modelId="{D86558AA-91E4-44D6-9DB7-9D2F52CF0688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E71C9F4B-BB93-4C75-AF16-29BB6D6E2E27}" type="parTrans" cxnId="{C38A7476-F873-4E2C-A458-364FC62A6211}">
      <dgm:prSet/>
      <dgm:spPr/>
      <dgm:t>
        <a:bodyPr/>
        <a:lstStyle/>
        <a:p>
          <a:endParaRPr lang="en-GB"/>
        </a:p>
      </dgm:t>
    </dgm:pt>
    <dgm:pt modelId="{4B72538D-8B6A-4380-ADFC-EFD215F80C1A}" type="sibTrans" cxnId="{C38A7476-F873-4E2C-A458-364FC62A6211}">
      <dgm:prSet/>
      <dgm:spPr/>
      <dgm:t>
        <a:bodyPr/>
        <a:lstStyle/>
        <a:p>
          <a:endParaRPr lang="en-GB"/>
        </a:p>
      </dgm:t>
    </dgm:pt>
    <dgm:pt modelId="{3B1D8051-37F3-4E27-BA7F-D540FF75177F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CA61FF1F-9C6D-44B6-A15C-306E98851549}" type="parTrans" cxnId="{38502FFC-AAF6-4A80-93AD-0D52AD94752A}">
      <dgm:prSet/>
      <dgm:spPr/>
      <dgm:t>
        <a:bodyPr/>
        <a:lstStyle/>
        <a:p>
          <a:endParaRPr lang="en-GB"/>
        </a:p>
      </dgm:t>
    </dgm:pt>
    <dgm:pt modelId="{2932E5CC-472E-4882-BB8A-2C842F008C46}" type="sibTrans" cxnId="{38502FFC-AAF6-4A80-93AD-0D52AD94752A}">
      <dgm:prSet/>
      <dgm:spPr/>
      <dgm:t>
        <a:bodyPr/>
        <a:lstStyle/>
        <a:p>
          <a:endParaRPr lang="en-GB"/>
        </a:p>
      </dgm:t>
    </dgm:pt>
    <dgm:pt modelId="{7C412D04-7242-4F43-8F87-419FC6482956}" type="pres">
      <dgm:prSet presAssocID="{422431E3-F652-450A-A5C9-DB6EB1F52F1D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GB"/>
        </a:p>
      </dgm:t>
    </dgm:pt>
    <dgm:pt modelId="{A900DCE5-A564-41E9-97F2-7C926A733DCD}" type="pres">
      <dgm:prSet presAssocID="{225FB4F4-B05F-4404-AE49-A74128184DE7}" presName="node" presStyleLbl="node1" presStyleIdx="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2B66B66-5CE3-4B2B-A395-12A3DD0F91AF}" type="pres">
      <dgm:prSet presAssocID="{4073C2F4-5B30-416E-9161-CDAFEDBBD4CA}" presName="sibTrans" presStyleCnt="0"/>
      <dgm:spPr/>
    </dgm:pt>
    <dgm:pt modelId="{68851861-6C2F-44D9-A0CE-702CB21F2D59}" type="pres">
      <dgm:prSet presAssocID="{3522F71B-1902-4747-86B5-164C09C45A13}" presName="node" presStyleLbl="node1" presStyleIdx="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C961DA05-7AE2-4DBE-9AD1-796D82B00FBF}" type="pres">
      <dgm:prSet presAssocID="{D7BDC7F3-444C-4F00-9A17-4D68CF96FA0A}" presName="sibTrans" presStyleCnt="0"/>
      <dgm:spPr/>
    </dgm:pt>
    <dgm:pt modelId="{1FCFD639-AD4C-471C-B8B8-C2F669A3E053}" type="pres">
      <dgm:prSet presAssocID="{3DC0A765-48C6-4B7B-9E3C-F745DC69F677}" presName="node" presStyleLbl="node1" presStyleIdx="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9EE179C-742F-489B-A26C-04FAD17EBB8C}" type="pres">
      <dgm:prSet presAssocID="{64A46697-9BEE-46A3-A4DE-36312DA34F75}" presName="sibTrans" presStyleCnt="0"/>
      <dgm:spPr/>
    </dgm:pt>
    <dgm:pt modelId="{832FDC29-E5AB-4AAB-B8AF-B83CFD25F0AD}" type="pres">
      <dgm:prSet presAssocID="{56C9DD36-AB29-47FF-8657-A57BBF5FDAB4}" presName="node" presStyleLbl="node1" presStyleIdx="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67391A7-52D2-45EB-8C90-BC2D0CD0C0FB}" type="pres">
      <dgm:prSet presAssocID="{E4E46700-C4EF-4584-BBA8-DBCF89D4AEF4}" presName="sibTrans" presStyleCnt="0"/>
      <dgm:spPr/>
    </dgm:pt>
    <dgm:pt modelId="{B8801EF1-BAD1-4FE3-A7B9-F4279719CC61}" type="pres">
      <dgm:prSet presAssocID="{898EDE30-912D-4E6E-A990-33FA08867E02}" presName="node" presStyleLbl="node1" presStyleIdx="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5419941-D3BA-4E7C-99D1-7609D851369F}" type="pres">
      <dgm:prSet presAssocID="{77B90006-29CF-4624-ADF2-CBC4B2E27F82}" presName="sibTrans" presStyleCnt="0"/>
      <dgm:spPr/>
    </dgm:pt>
    <dgm:pt modelId="{4D44D47A-3946-4B5F-B3D3-466E14D02170}" type="pres">
      <dgm:prSet presAssocID="{F5F77618-F4D0-4518-AEB4-694D85DDEBBB}" presName="node" presStyleLbl="node1" presStyleIdx="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805183C-A93B-4CAD-B8B2-EF986F063E58}" type="pres">
      <dgm:prSet presAssocID="{0A4A8B38-3485-43E9-8C62-CF0E95D7E65F}" presName="sibTrans" presStyleCnt="0"/>
      <dgm:spPr/>
    </dgm:pt>
    <dgm:pt modelId="{1B0735FA-21AA-4020-8B06-220EF9F9C5EE}" type="pres">
      <dgm:prSet presAssocID="{7578C0CB-E0A7-422F-8175-2DC21573B8CE}" presName="node" presStyleLbl="node1" presStyleIdx="6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99CCE04-8663-4332-BCEA-06C2024EB319}" type="pres">
      <dgm:prSet presAssocID="{AF709489-D6E6-4564-83BB-7C7AF7D626D8}" presName="sibTrans" presStyleCnt="0"/>
      <dgm:spPr/>
    </dgm:pt>
    <dgm:pt modelId="{19C80DEC-C0C0-4726-B053-FDD4BE8EC9D7}" type="pres">
      <dgm:prSet presAssocID="{E3A46E4E-3312-4E63-9A30-202A307CFAA4}" presName="node" presStyleLbl="node1" presStyleIdx="7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0F6A7F98-C9E9-47A5-B182-3A4D496BB2D6}" type="pres">
      <dgm:prSet presAssocID="{A9FBDB18-2963-4234-9816-8C05679F6FDF}" presName="sibTrans" presStyleCnt="0"/>
      <dgm:spPr/>
    </dgm:pt>
    <dgm:pt modelId="{220D4435-E046-4784-9702-99C8195D2CDB}" type="pres">
      <dgm:prSet presAssocID="{638B6127-7C67-4330-9D6E-26E33E4EFBB7}" presName="node" presStyleLbl="node1" presStyleIdx="8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D453B21-A1DA-47D8-B8FD-3434A90A0270}" type="pres">
      <dgm:prSet presAssocID="{35518771-FC55-477C-B15D-9BD1C2EE8498}" presName="sibTrans" presStyleCnt="0"/>
      <dgm:spPr/>
    </dgm:pt>
    <dgm:pt modelId="{A0F808CF-C6D5-4D80-A27C-B3DE0945AC41}" type="pres">
      <dgm:prSet presAssocID="{459D8DFB-BCB9-4A06-A933-2F3116BF810F}" presName="node" presStyleLbl="node1" presStyleIdx="9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72952F04-5F03-42F4-9206-904CBBAD662B}" type="pres">
      <dgm:prSet presAssocID="{E223857F-4F89-46C9-9DFC-ED7390A47CB3}" presName="sibTrans" presStyleCnt="0"/>
      <dgm:spPr/>
    </dgm:pt>
    <dgm:pt modelId="{5FA188D4-D4EC-4739-A6ED-58E22A4B4C06}" type="pres">
      <dgm:prSet presAssocID="{B9A2188C-E761-4386-9226-476565BC05CA}" presName="node" presStyleLbl="node1" presStyleIdx="1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4F7EFACF-35B7-47CA-966D-BBB746DD7960}" type="pres">
      <dgm:prSet presAssocID="{76DF266C-788B-4501-A173-029477ED0F30}" presName="sibTrans" presStyleCnt="0"/>
      <dgm:spPr/>
    </dgm:pt>
    <dgm:pt modelId="{EC553E85-87AF-4F77-AA8B-1FF2A27D2DA1}" type="pres">
      <dgm:prSet presAssocID="{40C8C039-6B94-445F-81C2-A575B5D79E73}" presName="node" presStyleLbl="node1" presStyleIdx="1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233C120E-9B3C-407C-8219-45720C00A0A6}" type="pres">
      <dgm:prSet presAssocID="{E46C49A5-AA10-44DB-A61E-DDFC5444A19A}" presName="sibTrans" presStyleCnt="0"/>
      <dgm:spPr/>
    </dgm:pt>
    <dgm:pt modelId="{0C150729-11CF-4591-AD0C-592ADC57ED1D}" type="pres">
      <dgm:prSet presAssocID="{D86558AA-91E4-44D6-9DB7-9D2F52CF0688}" presName="node" presStyleLbl="node1" presStyleIdx="1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DF86005-FC89-4FC5-84D1-3A2ABAFF445E}" type="pres">
      <dgm:prSet presAssocID="{4B72538D-8B6A-4380-ADFC-EFD215F80C1A}" presName="sibTrans" presStyleCnt="0"/>
      <dgm:spPr/>
    </dgm:pt>
    <dgm:pt modelId="{5F437086-F500-45A9-B3D8-E58A917CBFCB}" type="pres">
      <dgm:prSet presAssocID="{3B1D8051-37F3-4E27-BA7F-D540FF75177F}" presName="node" presStyleLbl="node1" presStyleIdx="1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71D8C26-84AE-4D81-8EF2-565EAC83CD99}" type="pres">
      <dgm:prSet presAssocID="{2932E5CC-472E-4882-BB8A-2C842F008C46}" presName="sibTrans" presStyleCnt="0"/>
      <dgm:spPr/>
    </dgm:pt>
    <dgm:pt modelId="{3FC67487-BD2E-45FF-B6E8-67B4F2B708A4}" type="pres">
      <dgm:prSet presAssocID="{5274CD34-B18E-4384-A92C-63385106B91B}" presName="node" presStyleLbl="node1" presStyleIdx="1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986BB8C8-4F64-4EC9-B9D5-5D97D494D0E6}" type="pres">
      <dgm:prSet presAssocID="{2373CA0F-0A2D-4767-88E5-5E26A6956AFB}" presName="sibTrans" presStyleCnt="0"/>
      <dgm:spPr/>
    </dgm:pt>
    <dgm:pt modelId="{AC2DE8E7-227A-4437-8C4E-D2778DAECF58}" type="pres">
      <dgm:prSet presAssocID="{99EB1FCC-C5B5-4845-8E89-A1C4CCD58D90}" presName="node" presStyleLbl="node1" presStyleIdx="1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</dgm:ptLst>
  <dgm:cxnLst>
    <dgm:cxn modelId="{27E60D71-1F87-40C6-9E3B-1932D046D3B0}" type="presOf" srcId="{898EDE30-912D-4E6E-A990-33FA08867E02}" destId="{B8801EF1-BAD1-4FE3-A7B9-F4279719CC61}" srcOrd="0" destOrd="0" presId="urn:microsoft.com/office/officeart/2005/8/layout/default"/>
    <dgm:cxn modelId="{C38A7476-F873-4E2C-A458-364FC62A6211}" srcId="{422431E3-F652-450A-A5C9-DB6EB1F52F1D}" destId="{D86558AA-91E4-44D6-9DB7-9D2F52CF0688}" srcOrd="12" destOrd="0" parTransId="{E71C9F4B-BB93-4C75-AF16-29BB6D6E2E27}" sibTransId="{4B72538D-8B6A-4380-ADFC-EFD215F80C1A}"/>
    <dgm:cxn modelId="{CFE774D0-847D-4BC7-BF5F-023B678250F3}" type="presOf" srcId="{459D8DFB-BCB9-4A06-A933-2F3116BF810F}" destId="{A0F808CF-C6D5-4D80-A27C-B3DE0945AC41}" srcOrd="0" destOrd="0" presId="urn:microsoft.com/office/officeart/2005/8/layout/default"/>
    <dgm:cxn modelId="{0B0491DB-75F0-4B7D-8278-0A2662A973D0}" type="presOf" srcId="{7578C0CB-E0A7-422F-8175-2DC21573B8CE}" destId="{1B0735FA-21AA-4020-8B06-220EF9F9C5EE}" srcOrd="0" destOrd="0" presId="urn:microsoft.com/office/officeart/2005/8/layout/default"/>
    <dgm:cxn modelId="{E5029913-89D0-4570-87DC-A9A8BEB17A7C}" srcId="{422431E3-F652-450A-A5C9-DB6EB1F52F1D}" destId="{3DC0A765-48C6-4B7B-9E3C-F745DC69F677}" srcOrd="2" destOrd="0" parTransId="{3C6FD89E-2C82-4B83-9A3E-57912346DE72}" sibTransId="{64A46697-9BEE-46A3-A4DE-36312DA34F75}"/>
    <dgm:cxn modelId="{202C8909-900B-46C8-836E-46D3F429B876}" type="presOf" srcId="{B9A2188C-E761-4386-9226-476565BC05CA}" destId="{5FA188D4-D4EC-4739-A6ED-58E22A4B4C06}" srcOrd="0" destOrd="0" presId="urn:microsoft.com/office/officeart/2005/8/layout/default"/>
    <dgm:cxn modelId="{B79694BE-C014-4C7A-89D7-6BAD03108471}" type="presOf" srcId="{3B1D8051-37F3-4E27-BA7F-D540FF75177F}" destId="{5F437086-F500-45A9-B3D8-E58A917CBFCB}" srcOrd="0" destOrd="0" presId="urn:microsoft.com/office/officeart/2005/8/layout/default"/>
    <dgm:cxn modelId="{38502FFC-AAF6-4A80-93AD-0D52AD94752A}" srcId="{422431E3-F652-450A-A5C9-DB6EB1F52F1D}" destId="{3B1D8051-37F3-4E27-BA7F-D540FF75177F}" srcOrd="13" destOrd="0" parTransId="{CA61FF1F-9C6D-44B6-A15C-306E98851549}" sibTransId="{2932E5CC-472E-4882-BB8A-2C842F008C46}"/>
    <dgm:cxn modelId="{1C4BE021-DAF1-4745-8237-7E72D86721DE}" srcId="{422431E3-F652-450A-A5C9-DB6EB1F52F1D}" destId="{5274CD34-B18E-4384-A92C-63385106B91B}" srcOrd="14" destOrd="0" parTransId="{7715A042-AFCB-475D-A5D7-0CB34AE4F885}" sibTransId="{2373CA0F-0A2D-4767-88E5-5E26A6956AFB}"/>
    <dgm:cxn modelId="{9422F25C-9039-4B17-A841-852C8ADE2C5A}" srcId="{422431E3-F652-450A-A5C9-DB6EB1F52F1D}" destId="{E3A46E4E-3312-4E63-9A30-202A307CFAA4}" srcOrd="7" destOrd="0" parTransId="{AA785A4A-D020-49C1-8FC0-F5C688C5BFFA}" sibTransId="{A9FBDB18-2963-4234-9816-8C05679F6FDF}"/>
    <dgm:cxn modelId="{2BFFA48E-43D5-4AC2-A2E6-0B7A24DAA357}" srcId="{422431E3-F652-450A-A5C9-DB6EB1F52F1D}" destId="{99EB1FCC-C5B5-4845-8E89-A1C4CCD58D90}" srcOrd="15" destOrd="0" parTransId="{87DB2F6F-6944-4C17-BF55-0A961C6B71FE}" sibTransId="{C25B55F1-2AEE-4179-9434-93136E5B4E41}"/>
    <dgm:cxn modelId="{DBBCB348-FF19-4F00-B3EE-592F889E8279}" type="presOf" srcId="{E3A46E4E-3312-4E63-9A30-202A307CFAA4}" destId="{19C80DEC-C0C0-4726-B053-FDD4BE8EC9D7}" srcOrd="0" destOrd="0" presId="urn:microsoft.com/office/officeart/2005/8/layout/default"/>
    <dgm:cxn modelId="{F49009AC-27D1-43D0-8C02-D0200274B230}" srcId="{422431E3-F652-450A-A5C9-DB6EB1F52F1D}" destId="{F5F77618-F4D0-4518-AEB4-694D85DDEBBB}" srcOrd="5" destOrd="0" parTransId="{2B3ABAFB-88DE-444B-AFEE-1EDC67EF7753}" sibTransId="{0A4A8B38-3485-43E9-8C62-CF0E95D7E65F}"/>
    <dgm:cxn modelId="{14126AD4-5F27-49AF-921A-F04532E544DC}" type="presOf" srcId="{3522F71B-1902-4747-86B5-164C09C45A13}" destId="{68851861-6C2F-44D9-A0CE-702CB21F2D59}" srcOrd="0" destOrd="0" presId="urn:microsoft.com/office/officeart/2005/8/layout/default"/>
    <dgm:cxn modelId="{B4C6FC14-E25E-4237-93B6-4B8098C3EF9C}" srcId="{422431E3-F652-450A-A5C9-DB6EB1F52F1D}" destId="{459D8DFB-BCB9-4A06-A933-2F3116BF810F}" srcOrd="9" destOrd="0" parTransId="{228664D5-F83D-437B-816F-C95FF548DB66}" sibTransId="{E223857F-4F89-46C9-9DFC-ED7390A47CB3}"/>
    <dgm:cxn modelId="{80CB70EE-9DD3-4F7B-8755-A51095685D6F}" type="presOf" srcId="{5274CD34-B18E-4384-A92C-63385106B91B}" destId="{3FC67487-BD2E-45FF-B6E8-67B4F2B708A4}" srcOrd="0" destOrd="0" presId="urn:microsoft.com/office/officeart/2005/8/layout/default"/>
    <dgm:cxn modelId="{B14AF7D6-2819-4BD5-97EF-F46EA42D8045}" srcId="{422431E3-F652-450A-A5C9-DB6EB1F52F1D}" destId="{225FB4F4-B05F-4404-AE49-A74128184DE7}" srcOrd="0" destOrd="0" parTransId="{901F6B35-512A-4191-85E2-08D1D16FC0BB}" sibTransId="{4073C2F4-5B30-416E-9161-CDAFEDBBD4CA}"/>
    <dgm:cxn modelId="{4AF7CD16-AD67-44E7-BF74-53119BE6FCD5}" type="presOf" srcId="{D86558AA-91E4-44D6-9DB7-9D2F52CF0688}" destId="{0C150729-11CF-4591-AD0C-592ADC57ED1D}" srcOrd="0" destOrd="0" presId="urn:microsoft.com/office/officeart/2005/8/layout/default"/>
    <dgm:cxn modelId="{B94E5D76-0910-4D69-A49D-95A9EC30DA86}" srcId="{422431E3-F652-450A-A5C9-DB6EB1F52F1D}" destId="{898EDE30-912D-4E6E-A990-33FA08867E02}" srcOrd="4" destOrd="0" parTransId="{B8B64441-DA94-4A1C-8BE5-D157752D9A0C}" sibTransId="{77B90006-29CF-4624-ADF2-CBC4B2E27F82}"/>
    <dgm:cxn modelId="{A2406749-0E0F-4BD8-ADA9-5E9A34D919E1}" srcId="{422431E3-F652-450A-A5C9-DB6EB1F52F1D}" destId="{56C9DD36-AB29-47FF-8657-A57BBF5FDAB4}" srcOrd="3" destOrd="0" parTransId="{C20F11C3-9AC9-4F88-A959-8853CC89DC24}" sibTransId="{E4E46700-C4EF-4584-BBA8-DBCF89D4AEF4}"/>
    <dgm:cxn modelId="{39F4A4E8-2ECF-4F5D-BFEB-D7E20851134C}" type="presOf" srcId="{422431E3-F652-450A-A5C9-DB6EB1F52F1D}" destId="{7C412D04-7242-4F43-8F87-419FC6482956}" srcOrd="0" destOrd="0" presId="urn:microsoft.com/office/officeart/2005/8/layout/default"/>
    <dgm:cxn modelId="{8653A601-177A-452F-BF7B-BD98DEC77CE5}" type="presOf" srcId="{3DC0A765-48C6-4B7B-9E3C-F745DC69F677}" destId="{1FCFD639-AD4C-471C-B8B8-C2F669A3E053}" srcOrd="0" destOrd="0" presId="urn:microsoft.com/office/officeart/2005/8/layout/default"/>
    <dgm:cxn modelId="{8B6CE4A9-5FA8-4BFB-91B5-FD3C0233EC17}" type="presOf" srcId="{56C9DD36-AB29-47FF-8657-A57BBF5FDAB4}" destId="{832FDC29-E5AB-4AAB-B8AF-B83CFD25F0AD}" srcOrd="0" destOrd="0" presId="urn:microsoft.com/office/officeart/2005/8/layout/default"/>
    <dgm:cxn modelId="{EC1DBA00-5CC9-416D-96A0-24578A680D5C}" srcId="{422431E3-F652-450A-A5C9-DB6EB1F52F1D}" destId="{638B6127-7C67-4330-9D6E-26E33E4EFBB7}" srcOrd="8" destOrd="0" parTransId="{22747425-CF91-4A93-BDA8-F122BEF49589}" sibTransId="{35518771-FC55-477C-B15D-9BD1C2EE8498}"/>
    <dgm:cxn modelId="{0E6010B1-8F83-4E39-9737-9380B990CB1D}" type="presOf" srcId="{638B6127-7C67-4330-9D6E-26E33E4EFBB7}" destId="{220D4435-E046-4784-9702-99C8195D2CDB}" srcOrd="0" destOrd="0" presId="urn:microsoft.com/office/officeart/2005/8/layout/default"/>
    <dgm:cxn modelId="{F6A84B12-86E1-48E9-86E0-6D6006DF3DCB}" srcId="{422431E3-F652-450A-A5C9-DB6EB1F52F1D}" destId="{7578C0CB-E0A7-422F-8175-2DC21573B8CE}" srcOrd="6" destOrd="0" parTransId="{62F331EC-8B43-4E43-90D4-E163F873BD51}" sibTransId="{AF709489-D6E6-4564-83BB-7C7AF7D626D8}"/>
    <dgm:cxn modelId="{B844B6A7-E552-43D4-9AC2-D7462F7CCC46}" type="presOf" srcId="{225FB4F4-B05F-4404-AE49-A74128184DE7}" destId="{A900DCE5-A564-41E9-97F2-7C926A733DCD}" srcOrd="0" destOrd="0" presId="urn:microsoft.com/office/officeart/2005/8/layout/default"/>
    <dgm:cxn modelId="{F855B9B5-792F-40C0-B52F-F99A867E497D}" type="presOf" srcId="{99EB1FCC-C5B5-4845-8E89-A1C4CCD58D90}" destId="{AC2DE8E7-227A-4437-8C4E-D2778DAECF58}" srcOrd="0" destOrd="0" presId="urn:microsoft.com/office/officeart/2005/8/layout/default"/>
    <dgm:cxn modelId="{E6D803D6-EF22-4C86-8592-5288445B079E}" type="presOf" srcId="{40C8C039-6B94-445F-81C2-A575B5D79E73}" destId="{EC553E85-87AF-4F77-AA8B-1FF2A27D2DA1}" srcOrd="0" destOrd="0" presId="urn:microsoft.com/office/officeart/2005/8/layout/default"/>
    <dgm:cxn modelId="{9B2862E2-C66F-4E1A-8B61-FB20844E1853}" srcId="{422431E3-F652-450A-A5C9-DB6EB1F52F1D}" destId="{3522F71B-1902-4747-86B5-164C09C45A13}" srcOrd="1" destOrd="0" parTransId="{5A81169D-3BAC-47B7-A85F-4C7E8FBFCDC8}" sibTransId="{D7BDC7F3-444C-4F00-9A17-4D68CF96FA0A}"/>
    <dgm:cxn modelId="{EDE6422A-E1ED-4059-A0B6-9A96D553084A}" type="presOf" srcId="{F5F77618-F4D0-4518-AEB4-694D85DDEBBB}" destId="{4D44D47A-3946-4B5F-B3D3-466E14D02170}" srcOrd="0" destOrd="0" presId="urn:microsoft.com/office/officeart/2005/8/layout/default"/>
    <dgm:cxn modelId="{504F050F-AAF7-4587-B131-F7F9CA604036}" srcId="{422431E3-F652-450A-A5C9-DB6EB1F52F1D}" destId="{40C8C039-6B94-445F-81C2-A575B5D79E73}" srcOrd="11" destOrd="0" parTransId="{95FB0625-3531-49BC-9AEB-A50F7C16A72B}" sibTransId="{E46C49A5-AA10-44DB-A61E-DDFC5444A19A}"/>
    <dgm:cxn modelId="{180AEAE4-6FF1-44E8-A228-3864FD4014E1}" srcId="{422431E3-F652-450A-A5C9-DB6EB1F52F1D}" destId="{B9A2188C-E761-4386-9226-476565BC05CA}" srcOrd="10" destOrd="0" parTransId="{B78D5D69-4F53-4764-8B74-13CE52737739}" sibTransId="{76DF266C-788B-4501-A173-029477ED0F30}"/>
    <dgm:cxn modelId="{9482FBB4-6C15-4C50-97E5-540A89FFA512}" type="presParOf" srcId="{7C412D04-7242-4F43-8F87-419FC6482956}" destId="{A900DCE5-A564-41E9-97F2-7C926A733DCD}" srcOrd="0" destOrd="0" presId="urn:microsoft.com/office/officeart/2005/8/layout/default"/>
    <dgm:cxn modelId="{E633352C-543F-4F02-8675-915BF455A970}" type="presParOf" srcId="{7C412D04-7242-4F43-8F87-419FC6482956}" destId="{F2B66B66-5CE3-4B2B-A395-12A3DD0F91AF}" srcOrd="1" destOrd="0" presId="urn:microsoft.com/office/officeart/2005/8/layout/default"/>
    <dgm:cxn modelId="{10E7EA01-616B-445B-8016-4622FF5D145C}" type="presParOf" srcId="{7C412D04-7242-4F43-8F87-419FC6482956}" destId="{68851861-6C2F-44D9-A0CE-702CB21F2D59}" srcOrd="2" destOrd="0" presId="urn:microsoft.com/office/officeart/2005/8/layout/default"/>
    <dgm:cxn modelId="{89D0605F-5816-48B9-BDEE-C3128CD3D86B}" type="presParOf" srcId="{7C412D04-7242-4F43-8F87-419FC6482956}" destId="{C961DA05-7AE2-4DBE-9AD1-796D82B00FBF}" srcOrd="3" destOrd="0" presId="urn:microsoft.com/office/officeart/2005/8/layout/default"/>
    <dgm:cxn modelId="{7BF69A6E-A8F0-4B1F-9DFD-BEE160AF50EE}" type="presParOf" srcId="{7C412D04-7242-4F43-8F87-419FC6482956}" destId="{1FCFD639-AD4C-471C-B8B8-C2F669A3E053}" srcOrd="4" destOrd="0" presId="urn:microsoft.com/office/officeart/2005/8/layout/default"/>
    <dgm:cxn modelId="{F0E74138-683D-4719-B010-90A9B137A4F9}" type="presParOf" srcId="{7C412D04-7242-4F43-8F87-419FC6482956}" destId="{A9EE179C-742F-489B-A26C-04FAD17EBB8C}" srcOrd="5" destOrd="0" presId="urn:microsoft.com/office/officeart/2005/8/layout/default"/>
    <dgm:cxn modelId="{DB7708C1-226B-476F-86BF-645EDE933109}" type="presParOf" srcId="{7C412D04-7242-4F43-8F87-419FC6482956}" destId="{832FDC29-E5AB-4AAB-B8AF-B83CFD25F0AD}" srcOrd="6" destOrd="0" presId="urn:microsoft.com/office/officeart/2005/8/layout/default"/>
    <dgm:cxn modelId="{C9601B96-D4DF-4B8A-B56A-86E4667DF060}" type="presParOf" srcId="{7C412D04-7242-4F43-8F87-419FC6482956}" destId="{167391A7-52D2-45EB-8C90-BC2D0CD0C0FB}" srcOrd="7" destOrd="0" presId="urn:microsoft.com/office/officeart/2005/8/layout/default"/>
    <dgm:cxn modelId="{A29F8323-FE0E-45C3-8164-68E7261BEEB3}" type="presParOf" srcId="{7C412D04-7242-4F43-8F87-419FC6482956}" destId="{B8801EF1-BAD1-4FE3-A7B9-F4279719CC61}" srcOrd="8" destOrd="0" presId="urn:microsoft.com/office/officeart/2005/8/layout/default"/>
    <dgm:cxn modelId="{DB1ACD7A-F293-474A-B151-F32D24746BEE}" type="presParOf" srcId="{7C412D04-7242-4F43-8F87-419FC6482956}" destId="{B5419941-D3BA-4E7C-99D1-7609D851369F}" srcOrd="9" destOrd="0" presId="urn:microsoft.com/office/officeart/2005/8/layout/default"/>
    <dgm:cxn modelId="{21B9E501-F00F-4AC5-8874-E87BAE8A68FB}" type="presParOf" srcId="{7C412D04-7242-4F43-8F87-419FC6482956}" destId="{4D44D47A-3946-4B5F-B3D3-466E14D02170}" srcOrd="10" destOrd="0" presId="urn:microsoft.com/office/officeart/2005/8/layout/default"/>
    <dgm:cxn modelId="{88895CD6-E5BA-4D42-AC32-7017B8D60232}" type="presParOf" srcId="{7C412D04-7242-4F43-8F87-419FC6482956}" destId="{1805183C-A93B-4CAD-B8B2-EF986F063E58}" srcOrd="11" destOrd="0" presId="urn:microsoft.com/office/officeart/2005/8/layout/default"/>
    <dgm:cxn modelId="{F9E3652B-C6F8-49B3-937C-F2E92D2F5236}" type="presParOf" srcId="{7C412D04-7242-4F43-8F87-419FC6482956}" destId="{1B0735FA-21AA-4020-8B06-220EF9F9C5EE}" srcOrd="12" destOrd="0" presId="urn:microsoft.com/office/officeart/2005/8/layout/default"/>
    <dgm:cxn modelId="{3928712D-3164-4915-AC0C-6EC58CA273A9}" type="presParOf" srcId="{7C412D04-7242-4F43-8F87-419FC6482956}" destId="{B99CCE04-8663-4332-BCEA-06C2024EB319}" srcOrd="13" destOrd="0" presId="urn:microsoft.com/office/officeart/2005/8/layout/default"/>
    <dgm:cxn modelId="{1A64EC07-B93F-42B6-814F-A4FBD3D3CCFE}" type="presParOf" srcId="{7C412D04-7242-4F43-8F87-419FC6482956}" destId="{19C80DEC-C0C0-4726-B053-FDD4BE8EC9D7}" srcOrd="14" destOrd="0" presId="urn:microsoft.com/office/officeart/2005/8/layout/default"/>
    <dgm:cxn modelId="{53B6AF64-C416-4FBF-8A23-4B5FC8DD0B6F}" type="presParOf" srcId="{7C412D04-7242-4F43-8F87-419FC6482956}" destId="{0F6A7F98-C9E9-47A5-B182-3A4D496BB2D6}" srcOrd="15" destOrd="0" presId="urn:microsoft.com/office/officeart/2005/8/layout/default"/>
    <dgm:cxn modelId="{6EE09310-38E5-434F-96EC-E30F5BBAF193}" type="presParOf" srcId="{7C412D04-7242-4F43-8F87-419FC6482956}" destId="{220D4435-E046-4784-9702-99C8195D2CDB}" srcOrd="16" destOrd="0" presId="urn:microsoft.com/office/officeart/2005/8/layout/default"/>
    <dgm:cxn modelId="{B93A20FF-A838-4D5A-B976-CA1CF17EEFC0}" type="presParOf" srcId="{7C412D04-7242-4F43-8F87-419FC6482956}" destId="{FD453B21-A1DA-47D8-B8FD-3434A90A0270}" srcOrd="17" destOrd="0" presId="urn:microsoft.com/office/officeart/2005/8/layout/default"/>
    <dgm:cxn modelId="{DB645405-B639-48DF-B179-39105D48A177}" type="presParOf" srcId="{7C412D04-7242-4F43-8F87-419FC6482956}" destId="{A0F808CF-C6D5-4D80-A27C-B3DE0945AC41}" srcOrd="18" destOrd="0" presId="urn:microsoft.com/office/officeart/2005/8/layout/default"/>
    <dgm:cxn modelId="{D2DB4CFF-754A-4D32-842B-0344DDC55E37}" type="presParOf" srcId="{7C412D04-7242-4F43-8F87-419FC6482956}" destId="{72952F04-5F03-42F4-9206-904CBBAD662B}" srcOrd="19" destOrd="0" presId="urn:microsoft.com/office/officeart/2005/8/layout/default"/>
    <dgm:cxn modelId="{D0631267-651E-455B-AD6C-96582665BF9A}" type="presParOf" srcId="{7C412D04-7242-4F43-8F87-419FC6482956}" destId="{5FA188D4-D4EC-4739-A6ED-58E22A4B4C06}" srcOrd="20" destOrd="0" presId="urn:microsoft.com/office/officeart/2005/8/layout/default"/>
    <dgm:cxn modelId="{6300B952-0161-4C46-BC6F-F7ABDBF7B281}" type="presParOf" srcId="{7C412D04-7242-4F43-8F87-419FC6482956}" destId="{4F7EFACF-35B7-47CA-966D-BBB746DD7960}" srcOrd="21" destOrd="0" presId="urn:microsoft.com/office/officeart/2005/8/layout/default"/>
    <dgm:cxn modelId="{78051E16-218E-4A56-90F1-95696D908F66}" type="presParOf" srcId="{7C412D04-7242-4F43-8F87-419FC6482956}" destId="{EC553E85-87AF-4F77-AA8B-1FF2A27D2DA1}" srcOrd="22" destOrd="0" presId="urn:microsoft.com/office/officeart/2005/8/layout/default"/>
    <dgm:cxn modelId="{8DB2FC0D-6226-472D-9A1C-3174972F62A1}" type="presParOf" srcId="{7C412D04-7242-4F43-8F87-419FC6482956}" destId="{233C120E-9B3C-407C-8219-45720C00A0A6}" srcOrd="23" destOrd="0" presId="urn:microsoft.com/office/officeart/2005/8/layout/default"/>
    <dgm:cxn modelId="{AA5A5B1F-582F-494A-95AD-B3BE01BFC18A}" type="presParOf" srcId="{7C412D04-7242-4F43-8F87-419FC6482956}" destId="{0C150729-11CF-4591-AD0C-592ADC57ED1D}" srcOrd="24" destOrd="0" presId="urn:microsoft.com/office/officeart/2005/8/layout/default"/>
    <dgm:cxn modelId="{B4CEEA13-DCFD-41B1-BB00-222573622A65}" type="presParOf" srcId="{7C412D04-7242-4F43-8F87-419FC6482956}" destId="{BDF86005-FC89-4FC5-84D1-3A2ABAFF445E}" srcOrd="25" destOrd="0" presId="urn:microsoft.com/office/officeart/2005/8/layout/default"/>
    <dgm:cxn modelId="{0B366B0F-4B34-44CA-BCEB-8C8EDC23326F}" type="presParOf" srcId="{7C412D04-7242-4F43-8F87-419FC6482956}" destId="{5F437086-F500-45A9-B3D8-E58A917CBFCB}" srcOrd="26" destOrd="0" presId="urn:microsoft.com/office/officeart/2005/8/layout/default"/>
    <dgm:cxn modelId="{03D2D125-54C3-4D42-9232-3B5F828F29F2}" type="presParOf" srcId="{7C412D04-7242-4F43-8F87-419FC6482956}" destId="{A71D8C26-84AE-4D81-8EF2-565EAC83CD99}" srcOrd="27" destOrd="0" presId="urn:microsoft.com/office/officeart/2005/8/layout/default"/>
    <dgm:cxn modelId="{9253E0C2-0DF3-4C39-9528-C00072215D5E}" type="presParOf" srcId="{7C412D04-7242-4F43-8F87-419FC6482956}" destId="{3FC67487-BD2E-45FF-B6E8-67B4F2B708A4}" srcOrd="28" destOrd="0" presId="urn:microsoft.com/office/officeart/2005/8/layout/default"/>
    <dgm:cxn modelId="{E7086416-75C2-4538-9030-C6E82628AE1F}" type="presParOf" srcId="{7C412D04-7242-4F43-8F87-419FC6482956}" destId="{986BB8C8-4F64-4EC9-B9D5-5D97D494D0E6}" srcOrd="29" destOrd="0" presId="urn:microsoft.com/office/officeart/2005/8/layout/default"/>
    <dgm:cxn modelId="{CC6DDE88-4074-4C11-8F05-0DCDE22EC36A}" type="presParOf" srcId="{7C412D04-7242-4F43-8F87-419FC6482956}" destId="{AC2DE8E7-227A-4437-8C4E-D2778DAECF58}" srcOrd="3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00DCE5-A564-41E9-97F2-7C926A733DCD}">
      <dsp:nvSpPr>
        <dsp:cNvPr id="0" name=""/>
        <dsp:cNvSpPr/>
      </dsp:nvSpPr>
      <dsp:spPr>
        <a:xfrm>
          <a:off x="155348" y="53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b="1" kern="1200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b="1" kern="1200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sp:txBody>
      <dsp:txXfrm>
        <a:off x="155348" y="53"/>
        <a:ext cx="1291429" cy="774857"/>
      </dsp:txXfrm>
    </dsp:sp>
    <dsp:sp modelId="{68851861-6C2F-44D9-A0CE-702CB21F2D59}">
      <dsp:nvSpPr>
        <dsp:cNvPr id="0" name=""/>
        <dsp:cNvSpPr/>
      </dsp:nvSpPr>
      <dsp:spPr>
        <a:xfrm>
          <a:off x="1453235" y="53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1453235" y="53"/>
        <a:ext cx="1291429" cy="774857"/>
      </dsp:txXfrm>
    </dsp:sp>
    <dsp:sp modelId="{1FCFD639-AD4C-471C-B8B8-C2F669A3E053}">
      <dsp:nvSpPr>
        <dsp:cNvPr id="0" name=""/>
        <dsp:cNvSpPr/>
      </dsp:nvSpPr>
      <dsp:spPr>
        <a:xfrm>
          <a:off x="2751121" y="53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2751121" y="53"/>
        <a:ext cx="1291429" cy="774857"/>
      </dsp:txXfrm>
    </dsp:sp>
    <dsp:sp modelId="{832FDC29-E5AB-4AAB-B8AF-B83CFD25F0AD}">
      <dsp:nvSpPr>
        <dsp:cNvPr id="0" name=""/>
        <dsp:cNvSpPr/>
      </dsp:nvSpPr>
      <dsp:spPr>
        <a:xfrm>
          <a:off x="4049007" y="53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4049007" y="53"/>
        <a:ext cx="1291429" cy="774857"/>
      </dsp:txXfrm>
    </dsp:sp>
    <dsp:sp modelId="{B8801EF1-BAD1-4FE3-A7B9-F4279719CC61}">
      <dsp:nvSpPr>
        <dsp:cNvPr id="0" name=""/>
        <dsp:cNvSpPr/>
      </dsp:nvSpPr>
      <dsp:spPr>
        <a:xfrm>
          <a:off x="155348" y="781367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155348" y="781367"/>
        <a:ext cx="1291429" cy="774857"/>
      </dsp:txXfrm>
    </dsp:sp>
    <dsp:sp modelId="{4D44D47A-3946-4B5F-B3D3-466E14D02170}">
      <dsp:nvSpPr>
        <dsp:cNvPr id="0" name=""/>
        <dsp:cNvSpPr/>
      </dsp:nvSpPr>
      <dsp:spPr>
        <a:xfrm>
          <a:off x="1453235" y="781367"/>
          <a:ext cx="1291429" cy="774857"/>
        </a:xfrm>
        <a:prstGeom prst="rect">
          <a:avLst/>
        </a:prstGeom>
        <a:solidFill>
          <a:schemeClr val="accent3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sp:txBody>
      <dsp:txXfrm>
        <a:off x="1453235" y="781367"/>
        <a:ext cx="1291429" cy="774857"/>
      </dsp:txXfrm>
    </dsp:sp>
    <dsp:sp modelId="{1B0735FA-21AA-4020-8B06-220EF9F9C5EE}">
      <dsp:nvSpPr>
        <dsp:cNvPr id="0" name=""/>
        <dsp:cNvSpPr/>
      </dsp:nvSpPr>
      <dsp:spPr>
        <a:xfrm>
          <a:off x="2751121" y="781367"/>
          <a:ext cx="1291429" cy="774857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751121" y="781367"/>
        <a:ext cx="1291429" cy="774857"/>
      </dsp:txXfrm>
    </dsp:sp>
    <dsp:sp modelId="{19C80DEC-C0C0-4726-B053-FDD4BE8EC9D7}">
      <dsp:nvSpPr>
        <dsp:cNvPr id="0" name=""/>
        <dsp:cNvSpPr/>
      </dsp:nvSpPr>
      <dsp:spPr>
        <a:xfrm>
          <a:off x="4049007" y="781367"/>
          <a:ext cx="1291429" cy="774857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4049007" y="781367"/>
        <a:ext cx="1291429" cy="774857"/>
      </dsp:txXfrm>
    </dsp:sp>
    <dsp:sp modelId="{220D4435-E046-4784-9702-99C8195D2CDB}">
      <dsp:nvSpPr>
        <dsp:cNvPr id="0" name=""/>
        <dsp:cNvSpPr/>
      </dsp:nvSpPr>
      <dsp:spPr>
        <a:xfrm>
          <a:off x="155348" y="1562682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155348" y="1562682"/>
        <a:ext cx="1291429" cy="774857"/>
      </dsp:txXfrm>
    </dsp:sp>
    <dsp:sp modelId="{A0F808CF-C6D5-4D80-A27C-B3DE0945AC41}">
      <dsp:nvSpPr>
        <dsp:cNvPr id="0" name=""/>
        <dsp:cNvSpPr/>
      </dsp:nvSpPr>
      <dsp:spPr>
        <a:xfrm>
          <a:off x="1453235" y="1562682"/>
          <a:ext cx="1291429" cy="774857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453235" y="1562682"/>
        <a:ext cx="1291429" cy="774857"/>
      </dsp:txXfrm>
    </dsp:sp>
    <dsp:sp modelId="{5FA188D4-D4EC-4739-A6ED-58E22A4B4C06}">
      <dsp:nvSpPr>
        <dsp:cNvPr id="0" name=""/>
        <dsp:cNvSpPr/>
      </dsp:nvSpPr>
      <dsp:spPr>
        <a:xfrm>
          <a:off x="2751121" y="1562682"/>
          <a:ext cx="1291429" cy="774857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751121" y="1562682"/>
        <a:ext cx="1291429" cy="774857"/>
      </dsp:txXfrm>
    </dsp:sp>
    <dsp:sp modelId="{EC553E85-87AF-4F77-AA8B-1FF2A27D2DA1}">
      <dsp:nvSpPr>
        <dsp:cNvPr id="0" name=""/>
        <dsp:cNvSpPr/>
      </dsp:nvSpPr>
      <dsp:spPr>
        <a:xfrm>
          <a:off x="4049007" y="1562682"/>
          <a:ext cx="1291429" cy="774857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4049007" y="1562682"/>
        <a:ext cx="1291429" cy="774857"/>
      </dsp:txXfrm>
    </dsp:sp>
    <dsp:sp modelId="{0C150729-11CF-4591-AD0C-592ADC57ED1D}">
      <dsp:nvSpPr>
        <dsp:cNvPr id="0" name=""/>
        <dsp:cNvSpPr/>
      </dsp:nvSpPr>
      <dsp:spPr>
        <a:xfrm>
          <a:off x="155348" y="2343997"/>
          <a:ext cx="1291429" cy="774857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155348" y="2343997"/>
        <a:ext cx="1291429" cy="774857"/>
      </dsp:txXfrm>
    </dsp:sp>
    <dsp:sp modelId="{5F437086-F500-45A9-B3D8-E58A917CBFCB}">
      <dsp:nvSpPr>
        <dsp:cNvPr id="0" name=""/>
        <dsp:cNvSpPr/>
      </dsp:nvSpPr>
      <dsp:spPr>
        <a:xfrm>
          <a:off x="1453235" y="2343997"/>
          <a:ext cx="1291429" cy="774857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453235" y="2343997"/>
        <a:ext cx="1291429" cy="774857"/>
      </dsp:txXfrm>
    </dsp:sp>
    <dsp:sp modelId="{3FC67487-BD2E-45FF-B6E8-67B4F2B708A4}">
      <dsp:nvSpPr>
        <dsp:cNvPr id="0" name=""/>
        <dsp:cNvSpPr/>
      </dsp:nvSpPr>
      <dsp:spPr>
        <a:xfrm>
          <a:off x="2751121" y="2343997"/>
          <a:ext cx="1291429" cy="774857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751121" y="2343997"/>
        <a:ext cx="1291429" cy="774857"/>
      </dsp:txXfrm>
    </dsp:sp>
    <dsp:sp modelId="{AC2DE8E7-227A-4437-8C4E-D2778DAECF58}">
      <dsp:nvSpPr>
        <dsp:cNvPr id="0" name=""/>
        <dsp:cNvSpPr/>
      </dsp:nvSpPr>
      <dsp:spPr>
        <a:xfrm>
          <a:off x="4049007" y="2343997"/>
          <a:ext cx="1291429" cy="774857"/>
        </a:xfrm>
        <a:prstGeom prst="rect">
          <a:avLst/>
        </a:prstGeom>
        <a:solidFill>
          <a:schemeClr val="accent6">
            <a:lumMod val="9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sp:txBody>
      <dsp:txXfrm>
        <a:off x="4049007" y="2343997"/>
        <a:ext cx="1291429" cy="7748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hyperlink" Target="#'Obsah'!A1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161925</xdr:rowOff>
    </xdr:from>
    <xdr:to>
      <xdr:col>0</xdr:col>
      <xdr:colOff>723900</xdr:colOff>
      <xdr:row>2</xdr:row>
      <xdr:rowOff>47626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161925"/>
          <a:ext cx="723900" cy="276226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2</xdr:col>
      <xdr:colOff>3236383</xdr:colOff>
      <xdr:row>18</xdr:row>
      <xdr:rowOff>78316</xdr:rowOff>
    </xdr:from>
    <xdr:to>
      <xdr:col>2</xdr:col>
      <xdr:colOff>3712633</xdr:colOff>
      <xdr:row>19</xdr:row>
      <xdr:rowOff>116416</xdr:rowOff>
    </xdr:to>
    <xdr:sp macro="" textlink="">
      <xdr:nvSpPr>
        <xdr:cNvPr id="3" name="Šípka nadol 2"/>
        <xdr:cNvSpPr/>
      </xdr:nvSpPr>
      <xdr:spPr>
        <a:xfrm>
          <a:off x="4972050" y="4506383"/>
          <a:ext cx="476250" cy="224366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862635</xdr:colOff>
      <xdr:row>0</xdr:row>
      <xdr:rowOff>149088</xdr:rowOff>
    </xdr:from>
    <xdr:to>
      <xdr:col>7</xdr:col>
      <xdr:colOff>59221</xdr:colOff>
      <xdr:row>17</xdr:row>
      <xdr:rowOff>101463</xdr:rowOff>
    </xdr:to>
    <xdr:grpSp>
      <xdr:nvGrpSpPr>
        <xdr:cNvPr id="2" name="Skupina 1"/>
        <xdr:cNvGrpSpPr/>
      </xdr:nvGrpSpPr>
      <xdr:grpSpPr>
        <a:xfrm>
          <a:off x="862635" y="149088"/>
          <a:ext cx="5495786" cy="3118908"/>
          <a:chOff x="1384439" y="762001"/>
          <a:chExt cx="5342282" cy="3190875"/>
        </a:xfrm>
      </xdr:grpSpPr>
      <xdr:graphicFrame macro="">
        <xdr:nvGraphicFramePr>
          <xdr:cNvPr id="3" name="Diagram 2"/>
          <xdr:cNvGraphicFramePr/>
        </xdr:nvGraphicFramePr>
        <xdr:xfrm>
          <a:off x="1384439" y="762001"/>
          <a:ext cx="5342282" cy="319087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cxnSp macro="">
        <xdr:nvCxnSpPr>
          <xdr:cNvPr id="4" name="Rovná spojnica 3"/>
          <xdr:cNvCxnSpPr/>
        </xdr:nvCxnSpPr>
        <xdr:spPr>
          <a:xfrm>
            <a:off x="1427094" y="1143000"/>
            <a:ext cx="1321490" cy="0"/>
          </a:xfrm>
          <a:prstGeom prst="line">
            <a:avLst/>
          </a:prstGeom>
          <a:ln>
            <a:solidFill>
              <a:schemeClr val="bg1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140804</xdr:colOff>
      <xdr:row>0</xdr:row>
      <xdr:rowOff>157370</xdr:rowOff>
    </xdr:from>
    <xdr:to>
      <xdr:col>0</xdr:col>
      <xdr:colOff>731354</xdr:colOff>
      <xdr:row>1</xdr:row>
      <xdr:rowOff>173245</xdr:rowOff>
    </xdr:to>
    <xdr:sp macro="" textlink="">
      <xdr:nvSpPr>
        <xdr:cNvPr id="5" name="Zaoblený obdĺžnik 4">
          <a:hlinkClick xmlns:r="http://schemas.openxmlformats.org/officeDocument/2006/relationships" r:id="rId6"/>
        </xdr:cNvPr>
        <xdr:cNvSpPr/>
      </xdr:nvSpPr>
      <xdr:spPr>
        <a:xfrm>
          <a:off x="140804" y="15737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1322917</xdr:colOff>
      <xdr:row>1</xdr:row>
      <xdr:rowOff>105834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1322917" cy="306917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726281</xdr:colOff>
      <xdr:row>2</xdr:row>
      <xdr:rowOff>102394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0" y="214313"/>
          <a:ext cx="726281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533400</xdr:colOff>
      <xdr:row>19</xdr:row>
      <xdr:rowOff>90487</xdr:rowOff>
    </xdr:from>
    <xdr:to>
      <xdr:col>15</xdr:col>
      <xdr:colOff>95250</xdr:colOff>
      <xdr:row>33</xdr:row>
      <xdr:rowOff>180975</xdr:rowOff>
    </xdr:to>
    <xdr:grpSp>
      <xdr:nvGrpSpPr>
        <xdr:cNvPr id="14" name="Skupina 13"/>
        <xdr:cNvGrpSpPr/>
      </xdr:nvGrpSpPr>
      <xdr:grpSpPr>
        <a:xfrm>
          <a:off x="11692467" y="4078287"/>
          <a:ext cx="3321050" cy="2588155"/>
          <a:chOff x="10210800" y="1500187"/>
          <a:chExt cx="3219450" cy="2743200"/>
        </a:xfrm>
        <a:noFill/>
      </xdr:grpSpPr>
      <xdr:graphicFrame macro="">
        <xdr:nvGraphicFramePr>
          <xdr:cNvPr id="13" name="Graf 12"/>
          <xdr:cNvGraphicFramePr/>
        </xdr:nvGraphicFramePr>
        <xdr:xfrm>
          <a:off x="10210800" y="1500187"/>
          <a:ext cx="321945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BlokTextu 6"/>
          <xdr:cNvSpPr txBox="1"/>
        </xdr:nvSpPr>
        <xdr:spPr>
          <a:xfrm>
            <a:off x="11302192" y="2389856"/>
            <a:ext cx="1230588" cy="6108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 anchorCtr="1">
            <a:noAutofit/>
          </a:bodyPr>
          <a:lstStyle/>
          <a:p>
            <a:pPr algn="ctr"/>
            <a:r>
              <a:rPr lang="sk-SK" sz="1050">
                <a:solidFill>
                  <a:schemeClr val="tx1"/>
                </a:solidFill>
                <a:latin typeface="Arial Narrow" panose="020B0606020202030204" pitchFamily="34" charset="0"/>
              </a:rPr>
              <a:t>Dosiahnuté štrukturálne saldo</a:t>
            </a:r>
            <a:endParaRPr lang="en-GB" sz="105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BlokTextu 3"/>
          <xdr:cNvSpPr txBox="1"/>
        </xdr:nvSpPr>
        <xdr:spPr>
          <a:xfrm>
            <a:off x="11257308" y="3181351"/>
            <a:ext cx="1344267" cy="753996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 anchorCtr="1">
            <a:noAutofit/>
          </a:bodyPr>
          <a:lstStyle/>
          <a:p>
            <a:pPr algn="ctr"/>
            <a:r>
              <a:rPr lang="sk-SK" sz="1050">
                <a:solidFill>
                  <a:schemeClr val="bg1"/>
                </a:solidFill>
                <a:latin typeface="Arial Narrow" panose="020B0606020202030204" pitchFamily="34" charset="0"/>
              </a:rPr>
              <a:t>Požadovaná medziročná konsolidácia na základe rovnomernej</a:t>
            </a:r>
            <a:r>
              <a:rPr lang="sk-SK" sz="1050" baseline="0">
                <a:solidFill>
                  <a:schemeClr val="bg1"/>
                </a:solidFill>
                <a:latin typeface="Arial Narrow" panose="020B0606020202030204" pitchFamily="34" charset="0"/>
              </a:rPr>
              <a:t> cesty</a:t>
            </a:r>
            <a:endParaRPr lang="en-GB" sz="1050">
              <a:solidFill>
                <a:schemeClr val="bg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8" name="Pravá zložená zátvorka 7"/>
          <xdr:cNvSpPr/>
        </xdr:nvSpPr>
        <xdr:spPr>
          <a:xfrm>
            <a:off x="12615641" y="1772209"/>
            <a:ext cx="151780" cy="1130707"/>
          </a:xfrm>
          <a:prstGeom prst="rightBrace">
            <a:avLst/>
          </a:prstGeom>
          <a:grp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0" name="BlokTextu 9"/>
          <xdr:cNvSpPr txBox="1"/>
        </xdr:nvSpPr>
        <xdr:spPr>
          <a:xfrm rot="5400000">
            <a:off x="12473272" y="2117135"/>
            <a:ext cx="1115614" cy="548731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pPr algn="ctr"/>
            <a:r>
              <a:rPr lang="sk-SK" sz="1050">
                <a:latin typeface="Arial Narrow" panose="020B0606020202030204" pitchFamily="34" charset="0"/>
              </a:rPr>
              <a:t>Konsolidačné</a:t>
            </a:r>
            <a:r>
              <a:rPr lang="sk-SK" sz="1050" baseline="0">
                <a:latin typeface="Arial Narrow" panose="020B0606020202030204" pitchFamily="34" charset="0"/>
              </a:rPr>
              <a:t> úsilie nad rámec požadovaného</a:t>
            </a:r>
            <a:endParaRPr lang="en-GB" sz="1050"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</xdr:col>
      <xdr:colOff>361951</xdr:colOff>
      <xdr:row>44</xdr:row>
      <xdr:rowOff>95250</xdr:rowOff>
    </xdr:from>
    <xdr:to>
      <xdr:col>2</xdr:col>
      <xdr:colOff>600075</xdr:colOff>
      <xdr:row>45</xdr:row>
      <xdr:rowOff>123825</xdr:rowOff>
    </xdr:to>
    <xdr:sp macro="" textlink="">
      <xdr:nvSpPr>
        <xdr:cNvPr id="2" name="Šípka nadol 1"/>
        <xdr:cNvSpPr/>
      </xdr:nvSpPr>
      <xdr:spPr>
        <a:xfrm>
          <a:off x="4791076" y="7791450"/>
          <a:ext cx="238124" cy="190500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385233</xdr:colOff>
      <xdr:row>33</xdr:row>
      <xdr:rowOff>177800</xdr:rowOff>
    </xdr:from>
    <xdr:to>
      <xdr:col>17</xdr:col>
      <xdr:colOff>367533</xdr:colOff>
      <xdr:row>47</xdr:row>
      <xdr:rowOff>104783</xdr:rowOff>
    </xdr:to>
    <xdr:grpSp>
      <xdr:nvGrpSpPr>
        <xdr:cNvPr id="15" name="Skupina 14"/>
        <xdr:cNvGrpSpPr/>
      </xdr:nvGrpSpPr>
      <xdr:grpSpPr>
        <a:xfrm>
          <a:off x="11544300" y="6663267"/>
          <a:ext cx="5350166" cy="2466983"/>
          <a:chOff x="1181154" y="8086075"/>
          <a:chExt cx="5431569" cy="4194322"/>
        </a:xfrm>
      </xdr:grpSpPr>
      <xdr:graphicFrame macro="">
        <xdr:nvGraphicFramePr>
          <xdr:cNvPr id="16" name="Graf 15"/>
          <xdr:cNvGraphicFramePr/>
        </xdr:nvGraphicFramePr>
        <xdr:xfrm>
          <a:off x="1181154" y="8086075"/>
          <a:ext cx="5431569" cy="41943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7" name="Päťuholník 16"/>
          <xdr:cNvSpPr/>
        </xdr:nvSpPr>
        <xdr:spPr>
          <a:xfrm>
            <a:off x="3420606" y="11104727"/>
            <a:ext cx="2565900" cy="1145185"/>
          </a:xfrm>
          <a:prstGeom prst="homePlate">
            <a:avLst/>
          </a:prstGeom>
          <a:solidFill>
            <a:schemeClr val="accent2">
              <a:alpha val="34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k-SK" sz="1000">
              <a:latin typeface="Arial Narrow" panose="020B0606020202030204" pitchFamily="34" charset="0"/>
            </a:endParaRPr>
          </a:p>
        </xdr:txBody>
      </xdr:sp>
      <xdr:graphicFrame macro="">
        <xdr:nvGraphicFramePr>
          <xdr:cNvPr id="18" name="Graf 17"/>
          <xdr:cNvGraphicFramePr/>
        </xdr:nvGraphicFramePr>
        <xdr:xfrm>
          <a:off x="3441999" y="11184000"/>
          <a:ext cx="2481198" cy="957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465667</xdr:colOff>
      <xdr:row>4</xdr:row>
      <xdr:rowOff>42334</xdr:rowOff>
    </xdr:from>
    <xdr:to>
      <xdr:col>17</xdr:col>
      <xdr:colOff>347135</xdr:colOff>
      <xdr:row>16</xdr:row>
      <xdr:rowOff>482601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0.1758</cdr:x>
      <cdr:y>0.16599</cdr:y>
    </cdr:from>
    <cdr:to>
      <cdr:x>0.64731</cdr:x>
      <cdr:y>0.36088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778639" y="390526"/>
          <a:ext cx="2088385" cy="458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Pásmo bez</a:t>
          </a:r>
          <a:r>
            <a:rPr lang="sk-SK" sz="1000" b="1" baseline="0">
              <a:latin typeface="Arial Narrow" panose="020B0606020202030204" pitchFamily="34" charset="0"/>
            </a:rPr>
            <a:t> odchýlenia od MTO</a:t>
          </a:r>
          <a:endParaRPr lang="sk-SK" sz="1000" b="1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0.4157</cdr:x>
      <cdr:y>0.75959</cdr:y>
    </cdr:from>
    <cdr:to>
      <cdr:x>0.91137</cdr:x>
      <cdr:y>0.95267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1948521" y="2360249"/>
          <a:ext cx="2323382" cy="599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Pásmo výrazného odchýlenia od MTO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0</xdr:col>
      <xdr:colOff>638174</xdr:colOff>
      <xdr:row>2</xdr:row>
      <xdr:rowOff>53975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9525"/>
          <a:ext cx="638174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695325</xdr:colOff>
      <xdr:row>1</xdr:row>
      <xdr:rowOff>34925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209550"/>
          <a:ext cx="6953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3600450</xdr:colOff>
      <xdr:row>40</xdr:row>
      <xdr:rowOff>85725</xdr:rowOff>
    </xdr:from>
    <xdr:to>
      <xdr:col>1</xdr:col>
      <xdr:colOff>4076700</xdr:colOff>
      <xdr:row>41</xdr:row>
      <xdr:rowOff>123825</xdr:rowOff>
    </xdr:to>
    <xdr:sp macro="" textlink="">
      <xdr:nvSpPr>
        <xdr:cNvPr id="5" name="Šípka nadol 4"/>
        <xdr:cNvSpPr/>
      </xdr:nvSpPr>
      <xdr:spPr>
        <a:xfrm>
          <a:off x="4391025" y="8134350"/>
          <a:ext cx="476250" cy="228600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621242</xdr:colOff>
      <xdr:row>14</xdr:row>
      <xdr:rowOff>75141</xdr:rowOff>
    </xdr:from>
    <xdr:to>
      <xdr:col>15</xdr:col>
      <xdr:colOff>653283</xdr:colOff>
      <xdr:row>26</xdr:row>
      <xdr:rowOff>93141</xdr:rowOff>
    </xdr:to>
    <xdr:grpSp>
      <xdr:nvGrpSpPr>
        <xdr:cNvPr id="7" name="Skupina 6"/>
        <xdr:cNvGrpSpPr/>
      </xdr:nvGrpSpPr>
      <xdr:grpSpPr>
        <a:xfrm>
          <a:off x="8080375" y="2699808"/>
          <a:ext cx="5882508" cy="2253200"/>
          <a:chOff x="1181154" y="8086075"/>
          <a:chExt cx="5431569" cy="4194322"/>
        </a:xfrm>
      </xdr:grpSpPr>
      <xdr:graphicFrame macro="">
        <xdr:nvGraphicFramePr>
          <xdr:cNvPr id="8" name="Graf 7"/>
          <xdr:cNvGraphicFramePr/>
        </xdr:nvGraphicFramePr>
        <xdr:xfrm>
          <a:off x="1181154" y="8086075"/>
          <a:ext cx="5431569" cy="41943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Päťuholník 8"/>
          <xdr:cNvSpPr/>
        </xdr:nvSpPr>
        <xdr:spPr>
          <a:xfrm>
            <a:off x="1618366" y="8964401"/>
            <a:ext cx="2641041" cy="1433424"/>
          </a:xfrm>
          <a:prstGeom prst="homePlate">
            <a:avLst/>
          </a:prstGeom>
          <a:solidFill>
            <a:schemeClr val="accent2">
              <a:alpha val="34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k-SK" sz="1000">
              <a:latin typeface="Arial Narrow" panose="020B0606020202030204" pitchFamily="34" charset="0"/>
            </a:endParaRPr>
          </a:p>
        </xdr:txBody>
      </xdr:sp>
      <xdr:graphicFrame macro="">
        <xdr:nvGraphicFramePr>
          <xdr:cNvPr id="10" name="Graf 9"/>
          <xdr:cNvGraphicFramePr/>
        </xdr:nvGraphicFramePr>
        <xdr:xfrm>
          <a:off x="1640381" y="9102370"/>
          <a:ext cx="2861319" cy="12813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200025</xdr:rowOff>
    </xdr:from>
    <xdr:to>
      <xdr:col>0</xdr:col>
      <xdr:colOff>847725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200025"/>
          <a:ext cx="84772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704851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7048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609600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238125"/>
          <a:ext cx="6096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666751</xdr:colOff>
      <xdr:row>2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0"/>
          <a:ext cx="6667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Fiskalny%20kompakt%20hodnotenie/2018%20jun/Zdrojove_data_predbezne_hodnotenie%20_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 refreshError="1"/>
      <sheetData sheetId="2" refreshError="1"/>
      <sheetData sheetId="3" refreshError="1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 refreshError="1"/>
      <sheetData sheetId="1" refreshError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 refreshError="1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SV FISC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Sumárna tabuľka"/>
      <sheetName val="ŠS_základné hodnotenie"/>
      <sheetName val="VP_základné hodnotenie"/>
      <sheetName val="FK vs EK"/>
      <sheetName val="One-offs"/>
      <sheetName val="NPC"/>
      <sheetName val="DRM"/>
      <sheetName val="EÚ fondy"/>
      <sheetName val="Rozhodovacia_Matica"/>
      <sheetName val="ESA2010_source"/>
    </sheetNames>
    <sheetDataSet>
      <sheetData sheetId="0"/>
      <sheetData sheetId="1"/>
      <sheetData sheetId="2">
        <row r="5">
          <cell r="Z5">
            <v>2015</v>
          </cell>
          <cell r="AA5">
            <v>2016</v>
          </cell>
          <cell r="AB5">
            <v>2017</v>
          </cell>
          <cell r="AC5">
            <v>2018</v>
          </cell>
          <cell r="AD5">
            <v>2019</v>
          </cell>
        </row>
      </sheetData>
      <sheetData sheetId="3">
        <row r="12">
          <cell r="F12">
            <v>33684.61</v>
          </cell>
        </row>
      </sheetData>
      <sheetData sheetId="4"/>
      <sheetData sheetId="5"/>
      <sheetData sheetId="6"/>
      <sheetData sheetId="7">
        <row r="61">
          <cell r="L61">
            <v>331.67851492614977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:J13"/>
  <sheetViews>
    <sheetView showGridLines="0" workbookViewId="0">
      <selection activeCell="F19" sqref="F19"/>
    </sheetView>
  </sheetViews>
  <sheetFormatPr defaultColWidth="9.109375" defaultRowHeight="13.8" x14ac:dyDescent="0.25"/>
  <cols>
    <col min="1" max="1" width="5.88671875" style="3" customWidth="1"/>
    <col min="2" max="2" width="9.109375" style="3"/>
    <col min="3" max="3" width="19.44140625" style="3" bestFit="1" customWidth="1"/>
    <col min="4" max="16384" width="9.109375" style="3"/>
  </cols>
  <sheetData>
    <row r="2" spans="1:10" ht="19.2" x14ac:dyDescent="0.35">
      <c r="B2" s="15" t="s">
        <v>399</v>
      </c>
      <c r="C2" s="18"/>
      <c r="D2" s="18"/>
      <c r="E2" s="18"/>
      <c r="F2" s="18"/>
      <c r="G2" s="18"/>
      <c r="H2" s="18"/>
      <c r="I2" s="18"/>
      <c r="J2" s="18"/>
    </row>
    <row r="3" spans="1:10" ht="14.4" thickBot="1" x14ac:dyDescent="0.3"/>
    <row r="4" spans="1:10" ht="15" thickBot="1" x14ac:dyDescent="0.35">
      <c r="A4" s="82"/>
      <c r="B4" s="16">
        <v>1</v>
      </c>
      <c r="C4" s="288" t="s">
        <v>309</v>
      </c>
      <c r="D4" s="8"/>
      <c r="E4" s="8"/>
      <c r="F4" s="8"/>
      <c r="G4" s="8"/>
    </row>
    <row r="5" spans="1:10" ht="15" thickBot="1" x14ac:dyDescent="0.35">
      <c r="B5" s="16">
        <v>2</v>
      </c>
      <c r="C5" s="288" t="s">
        <v>400</v>
      </c>
      <c r="D5" s="8"/>
      <c r="E5" s="8"/>
      <c r="F5" s="8"/>
      <c r="G5" s="8"/>
    </row>
    <row r="6" spans="1:10" ht="15" thickBot="1" x14ac:dyDescent="0.35">
      <c r="B6" s="16">
        <v>3</v>
      </c>
      <c r="C6" s="288" t="s">
        <v>401</v>
      </c>
      <c r="D6" s="8"/>
      <c r="E6" s="8"/>
      <c r="F6" s="8"/>
      <c r="G6" s="8"/>
    </row>
    <row r="7" spans="1:10" ht="15" thickBot="1" x14ac:dyDescent="0.35">
      <c r="B7" s="16">
        <v>4</v>
      </c>
      <c r="C7" s="288" t="s">
        <v>58</v>
      </c>
      <c r="D7" s="8"/>
      <c r="E7" s="8"/>
      <c r="F7" s="8"/>
      <c r="G7" s="8"/>
    </row>
    <row r="8" spans="1:10" ht="15" thickBot="1" x14ac:dyDescent="0.35">
      <c r="B8" s="16">
        <v>5</v>
      </c>
      <c r="C8" s="288" t="s">
        <v>59</v>
      </c>
      <c r="D8" s="8"/>
      <c r="E8" s="8"/>
      <c r="F8" s="8"/>
      <c r="G8" s="8"/>
    </row>
    <row r="9" spans="1:10" ht="15" thickBot="1" x14ac:dyDescent="0.35">
      <c r="B9" s="16">
        <v>6</v>
      </c>
      <c r="C9" s="288" t="s">
        <v>354</v>
      </c>
      <c r="D9" s="8"/>
      <c r="E9" s="8"/>
      <c r="F9" s="8"/>
      <c r="G9" s="8"/>
    </row>
    <row r="10" spans="1:10" ht="15" thickBot="1" x14ac:dyDescent="0.35">
      <c r="B10" s="16">
        <v>7</v>
      </c>
      <c r="C10" s="288" t="s">
        <v>60</v>
      </c>
      <c r="D10" s="8"/>
      <c r="E10" s="8"/>
      <c r="F10" s="8"/>
      <c r="G10" s="8"/>
    </row>
    <row r="11" spans="1:10" ht="15" thickBot="1" x14ac:dyDescent="0.35">
      <c r="B11" s="16">
        <v>8</v>
      </c>
      <c r="C11" s="288" t="s">
        <v>57</v>
      </c>
      <c r="D11" s="8"/>
      <c r="E11" s="8"/>
      <c r="F11" s="8"/>
      <c r="G11" s="8"/>
    </row>
    <row r="12" spans="1:10" ht="15" thickBot="1" x14ac:dyDescent="0.35">
      <c r="B12" s="16">
        <v>9</v>
      </c>
      <c r="C12" s="288" t="s">
        <v>355</v>
      </c>
      <c r="D12" s="8"/>
      <c r="E12" s="8"/>
      <c r="F12" s="8"/>
      <c r="G12" s="8"/>
    </row>
    <row r="13" spans="1:10" ht="14.4" thickBot="1" x14ac:dyDescent="0.3">
      <c r="B13" s="16">
        <v>10</v>
      </c>
      <c r="C13" s="288" t="s">
        <v>350</v>
      </c>
    </row>
  </sheetData>
  <hyperlinks>
    <hyperlink ref="C4" location="'Sumárna tabuľka'!A1" display="Celkové hodnotenie"/>
    <hyperlink ref="C5" location="'ŠS_základné hodnotenie'!A1" display="Štrukturálne saldo"/>
    <hyperlink ref="C6" location="'VP_základné hodnotenie'!A1" display="Výdavkové pravidlo"/>
    <hyperlink ref="C7" location="'FK vs EK'!A1" display="Fiškálny kompakt vs EK metodika"/>
    <hyperlink ref="C8" location="'One-offs'!A1" display="Jednorazové opatrenia"/>
    <hyperlink ref="C9" location="NPC!A1" display="No-policy-change scenár"/>
    <hyperlink ref="C10" location="DRM!A1" display="Diskrečné príjmové opatrenia"/>
    <hyperlink ref="C11" location="'Výdavky z EÚ fondov'!A1" display="Výdavky z EÚ fondov"/>
    <hyperlink ref="C12" location="Rozhodovacia_Matica!A1" display="Rozhodovacia matica"/>
    <hyperlink ref="C13" location="ESA2010_source!A1" display="ESA2010_source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2:L36"/>
  <sheetViews>
    <sheetView showGridLines="0" zoomScale="90" zoomScaleNormal="90" workbookViewId="0">
      <selection activeCell="H21" sqref="H21"/>
    </sheetView>
  </sheetViews>
  <sheetFormatPr defaultColWidth="9.109375" defaultRowHeight="13.8" x14ac:dyDescent="0.3"/>
  <cols>
    <col min="1" max="1" width="11.33203125" style="17" customWidth="1"/>
    <col min="2" max="2" width="66.6640625" style="17" customWidth="1"/>
    <col min="3" max="3" width="12.33203125" style="23" customWidth="1"/>
    <col min="4" max="4" width="13.109375" style="17" customWidth="1"/>
    <col min="5" max="16384" width="9.109375" style="17"/>
  </cols>
  <sheetData>
    <row r="2" spans="2:5" ht="13.5" customHeight="1" thickBot="1" x14ac:dyDescent="0.35">
      <c r="B2" s="35" t="s">
        <v>426</v>
      </c>
      <c r="C2" s="457" t="s">
        <v>361</v>
      </c>
      <c r="D2" s="457"/>
    </row>
    <row r="3" spans="2:5" x14ac:dyDescent="0.3">
      <c r="B3" s="422" t="s">
        <v>34</v>
      </c>
      <c r="C3" s="423">
        <v>2016</v>
      </c>
      <c r="D3" s="423">
        <v>2017</v>
      </c>
      <c r="E3" s="37"/>
    </row>
    <row r="4" spans="2:5" x14ac:dyDescent="0.3">
      <c r="B4" s="6" t="s">
        <v>341</v>
      </c>
      <c r="C4" s="415"/>
      <c r="D4" s="415">
        <v>-49.779000000000003</v>
      </c>
      <c r="E4" s="37"/>
    </row>
    <row r="5" spans="2:5" x14ac:dyDescent="0.3">
      <c r="B5" s="7" t="s">
        <v>342</v>
      </c>
      <c r="C5" s="416">
        <v>12.550390918238399</v>
      </c>
      <c r="D5" s="416"/>
      <c r="E5" s="37"/>
    </row>
    <row r="6" spans="2:5" x14ac:dyDescent="0.3">
      <c r="B6" s="7" t="s">
        <v>343</v>
      </c>
      <c r="C6" s="417">
        <v>-119.73912200000001</v>
      </c>
      <c r="D6" s="417">
        <v>21.033387110155775</v>
      </c>
      <c r="E6" s="37"/>
    </row>
    <row r="7" spans="2:5" x14ac:dyDescent="0.3">
      <c r="B7" s="7" t="s">
        <v>344</v>
      </c>
      <c r="C7" s="416">
        <v>6.8</v>
      </c>
      <c r="D7" s="416"/>
      <c r="E7" s="37"/>
    </row>
    <row r="8" spans="2:5" x14ac:dyDescent="0.3">
      <c r="B8" s="52" t="s">
        <v>345</v>
      </c>
      <c r="C8" s="416">
        <v>-76.900000000000006</v>
      </c>
      <c r="D8" s="416"/>
      <c r="E8" s="37"/>
    </row>
    <row r="9" spans="2:5" x14ac:dyDescent="0.3">
      <c r="B9" s="37" t="s">
        <v>346</v>
      </c>
      <c r="C9" s="418">
        <v>4.069</v>
      </c>
      <c r="D9" s="418">
        <v>1.4359999999999999</v>
      </c>
      <c r="E9" s="37"/>
    </row>
    <row r="10" spans="2:5" x14ac:dyDescent="0.3">
      <c r="B10" s="37" t="s">
        <v>347</v>
      </c>
      <c r="C10" s="418"/>
      <c r="D10" s="418">
        <v>6.4939999999999998</v>
      </c>
      <c r="E10" s="37"/>
    </row>
    <row r="11" spans="2:5" x14ac:dyDescent="0.3">
      <c r="B11" s="37" t="s">
        <v>348</v>
      </c>
      <c r="C11" s="418">
        <v>-11.290000000000003</v>
      </c>
      <c r="D11" s="418"/>
      <c r="E11" s="37"/>
    </row>
    <row r="12" spans="2:5" x14ac:dyDescent="0.3">
      <c r="B12" s="37" t="s">
        <v>362</v>
      </c>
      <c r="C12" s="418">
        <v>243.03800000000001</v>
      </c>
      <c r="D12" s="418">
        <v>188.73500000000001</v>
      </c>
      <c r="E12" s="37"/>
    </row>
    <row r="13" spans="2:5" x14ac:dyDescent="0.3">
      <c r="B13" s="37" t="s">
        <v>363</v>
      </c>
      <c r="C13" s="418">
        <v>19.395</v>
      </c>
      <c r="D13" s="418">
        <v>-10.673</v>
      </c>
      <c r="E13" s="37"/>
    </row>
    <row r="14" spans="2:5" x14ac:dyDescent="0.3">
      <c r="B14" s="37" t="s">
        <v>364</v>
      </c>
      <c r="C14" s="418"/>
      <c r="D14" s="418">
        <v>-121.34101605901982</v>
      </c>
      <c r="E14" s="37"/>
    </row>
    <row r="15" spans="2:5" x14ac:dyDescent="0.3">
      <c r="B15" s="37" t="s">
        <v>365</v>
      </c>
      <c r="C15" s="418"/>
      <c r="D15" s="418">
        <v>30.071000000000002</v>
      </c>
      <c r="E15" s="37"/>
    </row>
    <row r="16" spans="2:5" x14ac:dyDescent="0.3">
      <c r="B16" s="37" t="s">
        <v>366</v>
      </c>
      <c r="C16" s="418"/>
      <c r="D16" s="418">
        <v>62.335786831938933</v>
      </c>
      <c r="E16" s="37"/>
    </row>
    <row r="17" spans="2:12" x14ac:dyDescent="0.3">
      <c r="B17" s="37" t="s">
        <v>367</v>
      </c>
      <c r="C17" s="418"/>
      <c r="D17" s="418">
        <v>29.565999999999999</v>
      </c>
      <c r="E17" s="37"/>
    </row>
    <row r="18" spans="2:12" x14ac:dyDescent="0.3">
      <c r="B18" s="37" t="s">
        <v>368</v>
      </c>
      <c r="C18" s="418"/>
      <c r="D18" s="418">
        <v>50.277093246150002</v>
      </c>
      <c r="E18" s="37"/>
    </row>
    <row r="19" spans="2:12" x14ac:dyDescent="0.3">
      <c r="B19" s="37" t="s">
        <v>369</v>
      </c>
      <c r="C19" s="418"/>
      <c r="D19" s="418">
        <v>2.7</v>
      </c>
      <c r="E19" s="37"/>
    </row>
    <row r="20" spans="2:12" x14ac:dyDescent="0.3">
      <c r="B20" s="37" t="s">
        <v>370</v>
      </c>
      <c r="C20" s="419"/>
      <c r="D20" s="418">
        <v>-4.5</v>
      </c>
      <c r="E20" s="37"/>
    </row>
    <row r="21" spans="2:12" x14ac:dyDescent="0.3">
      <c r="B21" s="37" t="s">
        <v>371</v>
      </c>
      <c r="C21" s="419"/>
      <c r="D21" s="418">
        <v>-34.2603480223068</v>
      </c>
      <c r="E21" s="37"/>
    </row>
    <row r="22" spans="2:12" x14ac:dyDescent="0.3">
      <c r="B22" s="37" t="s">
        <v>372</v>
      </c>
      <c r="C22" s="419"/>
      <c r="D22" s="418">
        <v>96.521032393232005</v>
      </c>
      <c r="E22" s="37"/>
    </row>
    <row r="23" spans="2:12" x14ac:dyDescent="0.3">
      <c r="B23" s="37" t="s">
        <v>373</v>
      </c>
      <c r="C23" s="419"/>
      <c r="D23" s="418">
        <v>70.444000000000003</v>
      </c>
      <c r="E23" s="37"/>
    </row>
    <row r="24" spans="2:12" x14ac:dyDescent="0.3">
      <c r="B24" s="37" t="s">
        <v>374</v>
      </c>
      <c r="C24" s="419"/>
      <c r="D24" s="418">
        <v>5.5567380199999903</v>
      </c>
      <c r="E24" s="37"/>
    </row>
    <row r="25" spans="2:12" x14ac:dyDescent="0.3">
      <c r="B25" s="37" t="s">
        <v>375</v>
      </c>
      <c r="C25" s="419"/>
      <c r="D25" s="418">
        <v>16.259273279999999</v>
      </c>
      <c r="E25" s="37"/>
    </row>
    <row r="26" spans="2:12" x14ac:dyDescent="0.3">
      <c r="B26" s="37" t="s">
        <v>376</v>
      </c>
      <c r="C26" s="419"/>
      <c r="D26" s="418">
        <v>2.64859504</v>
      </c>
      <c r="E26" s="37"/>
    </row>
    <row r="27" spans="2:12" x14ac:dyDescent="0.3">
      <c r="B27" s="37" t="s">
        <v>377</v>
      </c>
      <c r="C27" s="419"/>
      <c r="D27" s="418">
        <v>9.8000000000000007</v>
      </c>
      <c r="E27" s="37"/>
    </row>
    <row r="28" spans="2:12" ht="14.4" thickBot="1" x14ac:dyDescent="0.35">
      <c r="B28" s="381" t="s">
        <v>378</v>
      </c>
      <c r="C28" s="419"/>
      <c r="D28" s="418">
        <v>-28.109937500000001</v>
      </c>
      <c r="E28" s="37"/>
    </row>
    <row r="29" spans="2:12" ht="16.2" thickBot="1" x14ac:dyDescent="0.35">
      <c r="B29" s="421" t="s">
        <v>379</v>
      </c>
      <c r="C29" s="420">
        <f>SUM(C4:C28)</f>
        <v>77.923268918238378</v>
      </c>
      <c r="D29" s="420">
        <f>SUM(D4:D28)</f>
        <v>345.21460434015012</v>
      </c>
      <c r="E29" s="135"/>
      <c r="F29"/>
      <c r="G29"/>
      <c r="H29"/>
      <c r="I29"/>
      <c r="J29"/>
      <c r="K29"/>
      <c r="L29"/>
    </row>
    <row r="30" spans="2:12" x14ac:dyDescent="0.3">
      <c r="B30" s="256"/>
      <c r="C30" s="257"/>
    </row>
    <row r="32" spans="2:12" ht="14.4" thickBot="1" x14ac:dyDescent="0.35">
      <c r="B32" s="380" t="s">
        <v>380</v>
      </c>
      <c r="C32" s="381"/>
      <c r="D32" s="381"/>
    </row>
    <row r="33" spans="1:7" x14ac:dyDescent="0.3">
      <c r="B33" s="23" t="s">
        <v>381</v>
      </c>
      <c r="C33" s="378">
        <v>49.166708740000011</v>
      </c>
      <c r="D33" s="418">
        <v>10.796923259999991</v>
      </c>
      <c r="E33" s="37"/>
    </row>
    <row r="34" spans="1:7" x14ac:dyDescent="0.3">
      <c r="B34" s="23" t="s">
        <v>382</v>
      </c>
      <c r="C34" s="378">
        <v>9.7789999999999999</v>
      </c>
      <c r="D34" s="418">
        <v>8.6010000000000009</v>
      </c>
      <c r="E34" s="37"/>
      <c r="F34" s="424"/>
      <c r="G34" s="425"/>
    </row>
    <row r="35" spans="1:7" ht="14.4" thickBot="1" x14ac:dyDescent="0.35">
      <c r="B35" s="23" t="s">
        <v>383</v>
      </c>
      <c r="C35" s="378">
        <v>-11.903</v>
      </c>
      <c r="D35" s="418">
        <v>-4.0720000000000001</v>
      </c>
      <c r="E35" s="37"/>
      <c r="F35" s="424"/>
      <c r="G35" s="425"/>
    </row>
    <row r="36" spans="1:7" ht="16.2" thickBot="1" x14ac:dyDescent="0.35">
      <c r="A36" s="37"/>
      <c r="B36" s="421" t="s">
        <v>379</v>
      </c>
      <c r="C36" s="379">
        <f>SUM(C33:C35)</f>
        <v>47.042708740000016</v>
      </c>
      <c r="D36" s="420">
        <f>SUM(D33:D35)</f>
        <v>15.325923259999993</v>
      </c>
      <c r="E36" s="37"/>
    </row>
  </sheetData>
  <mergeCells count="1">
    <mergeCell ref="C2: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K29"/>
  <sheetViews>
    <sheetView showGridLines="0" zoomScale="90" zoomScaleNormal="90" workbookViewId="0">
      <selection activeCell="C27" sqref="C27"/>
    </sheetView>
  </sheetViews>
  <sheetFormatPr defaultColWidth="9.109375" defaultRowHeight="13.8" x14ac:dyDescent="0.3"/>
  <cols>
    <col min="1" max="1" width="9.5546875" style="17" customWidth="1"/>
    <col min="2" max="2" width="64.6640625" style="17" bestFit="1" customWidth="1"/>
    <col min="3" max="16384" width="9.109375" style="17"/>
  </cols>
  <sheetData>
    <row r="2" spans="1:11" ht="14.4" thickBot="1" x14ac:dyDescent="0.35">
      <c r="B2" s="456" t="s">
        <v>395</v>
      </c>
      <c r="C2" s="456"/>
      <c r="D2" s="456"/>
      <c r="E2" s="456"/>
      <c r="F2" s="456"/>
      <c r="G2" s="456"/>
      <c r="H2" s="456"/>
      <c r="I2" s="456"/>
    </row>
    <row r="3" spans="1:11" ht="14.4" thickBot="1" x14ac:dyDescent="0.35">
      <c r="B3" s="138" t="s">
        <v>271</v>
      </c>
      <c r="C3" s="139">
        <v>2010</v>
      </c>
      <c r="D3" s="139">
        <v>2011</v>
      </c>
      <c r="E3" s="139">
        <v>2012</v>
      </c>
      <c r="F3" s="139">
        <v>2013</v>
      </c>
      <c r="G3" s="139">
        <v>2014</v>
      </c>
      <c r="H3" s="139">
        <v>2015</v>
      </c>
      <c r="I3" s="139">
        <v>2016</v>
      </c>
      <c r="J3" s="139">
        <v>2017</v>
      </c>
    </row>
    <row r="4" spans="1:11" x14ac:dyDescent="0.3">
      <c r="B4" s="133" t="s">
        <v>43</v>
      </c>
      <c r="C4" s="157">
        <f>ESA2010_source!F83</f>
        <v>2441.0880000000002</v>
      </c>
      <c r="D4" s="157">
        <f>ESA2010_source!G83</f>
        <v>2691.759</v>
      </c>
      <c r="E4" s="157">
        <f>ESA2010_source!H83</f>
        <v>2435.8110000000001</v>
      </c>
      <c r="F4" s="157">
        <f>ESA2010_source!I83</f>
        <v>2466.08</v>
      </c>
      <c r="G4" s="157">
        <f>ESA2010_source!J83</f>
        <v>3023.41</v>
      </c>
      <c r="H4" s="157">
        <f>ESA2010_source!K83</f>
        <v>4950.6450000000004</v>
      </c>
      <c r="I4" s="157">
        <f>ESA2010_source!L83</f>
        <v>2599.5709999999999</v>
      </c>
      <c r="J4" s="157">
        <f>ESA2010_source!M83</f>
        <v>2698.9659999999999</v>
      </c>
    </row>
    <row r="5" spans="1:11" x14ac:dyDescent="0.3">
      <c r="B5" s="136" t="s">
        <v>44</v>
      </c>
      <c r="C5" s="157">
        <f>SUM(C6:C7)</f>
        <v>834</v>
      </c>
      <c r="D5" s="157">
        <f t="shared" ref="D5:I5" si="0">SUM(D6:D7)</f>
        <v>1019</v>
      </c>
      <c r="E5" s="157">
        <f t="shared" si="0"/>
        <v>976</v>
      </c>
      <c r="F5" s="157">
        <f t="shared" si="0"/>
        <v>1213</v>
      </c>
      <c r="G5" s="157">
        <f t="shared" si="0"/>
        <v>1281</v>
      </c>
      <c r="H5" s="157">
        <v>2789</v>
      </c>
      <c r="I5" s="157">
        <f t="shared" si="0"/>
        <v>796.34500000000003</v>
      </c>
      <c r="J5" s="157">
        <f t="shared" ref="J5" si="1">SUM(J6:J7)</f>
        <v>631.81200000000001</v>
      </c>
    </row>
    <row r="6" spans="1:11" x14ac:dyDescent="0.3">
      <c r="B6" s="134" t="s">
        <v>45</v>
      </c>
      <c r="C6" s="157">
        <v>635</v>
      </c>
      <c r="D6" s="157">
        <v>873</v>
      </c>
      <c r="E6" s="157">
        <v>812</v>
      </c>
      <c r="F6" s="157">
        <v>970</v>
      </c>
      <c r="G6" s="157">
        <v>971</v>
      </c>
      <c r="H6" s="157">
        <v>2345</v>
      </c>
      <c r="I6" s="157">
        <v>506.88200000000001</v>
      </c>
      <c r="J6" s="157">
        <v>440.24799999999999</v>
      </c>
    </row>
    <row r="7" spans="1:11" x14ac:dyDescent="0.3">
      <c r="B7" s="137" t="s">
        <v>54</v>
      </c>
      <c r="C7" s="158">
        <v>199</v>
      </c>
      <c r="D7" s="158">
        <v>146</v>
      </c>
      <c r="E7" s="158">
        <v>164</v>
      </c>
      <c r="F7" s="158">
        <v>243</v>
      </c>
      <c r="G7" s="158">
        <v>310</v>
      </c>
      <c r="H7" s="158">
        <v>443</v>
      </c>
      <c r="I7" s="159">
        <v>289.46300000000002</v>
      </c>
      <c r="J7" s="159">
        <v>191.56399999999999</v>
      </c>
    </row>
    <row r="8" spans="1:11" ht="14.4" thickBot="1" x14ac:dyDescent="0.35">
      <c r="B8" s="81" t="s">
        <v>46</v>
      </c>
      <c r="C8" s="160">
        <f>C4-C6</f>
        <v>1806.0880000000002</v>
      </c>
      <c r="D8" s="160">
        <f t="shared" ref="D8:I8" si="2">D4-D6</f>
        <v>1818.759</v>
      </c>
      <c r="E8" s="160">
        <f t="shared" si="2"/>
        <v>1623.8110000000001</v>
      </c>
      <c r="F8" s="160">
        <f t="shared" si="2"/>
        <v>1496.08</v>
      </c>
      <c r="G8" s="160">
        <f t="shared" si="2"/>
        <v>2052.41</v>
      </c>
      <c r="H8" s="160">
        <f t="shared" si="2"/>
        <v>2605.6450000000004</v>
      </c>
      <c r="I8" s="160">
        <f t="shared" si="2"/>
        <v>2092.6889999999999</v>
      </c>
      <c r="J8" s="160">
        <f t="shared" ref="J8" si="3">J4-J6</f>
        <v>2258.7179999999998</v>
      </c>
    </row>
    <row r="9" spans="1:11" ht="14.4" x14ac:dyDescent="0.3">
      <c r="B9" s="133" t="s">
        <v>352</v>
      </c>
      <c r="C9" s="161"/>
      <c r="D9" s="161"/>
      <c r="E9" s="161"/>
      <c r="F9" s="158">
        <f>AVERAGE(C8:F8)</f>
        <v>1686.1845000000001</v>
      </c>
      <c r="G9" s="158">
        <f>AVERAGE(D8:G8)</f>
        <v>1747.7649999999999</v>
      </c>
      <c r="H9" s="158">
        <f>AVERAGE(E8:H8)</f>
        <v>1944.4865</v>
      </c>
      <c r="I9" s="158">
        <f>AVERAGE(F8:I8)</f>
        <v>2061.7060000000001</v>
      </c>
      <c r="J9" s="158">
        <f>AVERAGE(G8:J8)</f>
        <v>2252.3654999999999</v>
      </c>
    </row>
    <row r="10" spans="1:11" ht="14.4" x14ac:dyDescent="0.3">
      <c r="B10" s="135"/>
      <c r="C10" s="135"/>
      <c r="D10" s="135"/>
      <c r="E10" s="135"/>
      <c r="F10" s="135"/>
      <c r="G10" s="135"/>
      <c r="H10" s="135"/>
      <c r="I10" s="135"/>
      <c r="J10" s="37"/>
    </row>
    <row r="11" spans="1:11" ht="14.4" x14ac:dyDescent="0.3">
      <c r="B11"/>
      <c r="C11" s="140"/>
      <c r="D11" s="140"/>
      <c r="E11" s="140"/>
      <c r="F11" s="140"/>
      <c r="G11" s="140"/>
      <c r="H11" s="140"/>
      <c r="I11" s="140"/>
    </row>
    <row r="12" spans="1:11" ht="14.4" thickBot="1" x14ac:dyDescent="0.35">
      <c r="B12" s="456" t="s">
        <v>396</v>
      </c>
      <c r="C12" s="456"/>
      <c r="D12" s="456"/>
      <c r="E12" s="456"/>
      <c r="F12" s="456"/>
      <c r="G12" s="456"/>
      <c r="H12" s="456"/>
      <c r="I12" s="456"/>
      <c r="J12" s="381"/>
      <c r="K12" s="381"/>
    </row>
    <row r="13" spans="1:11" ht="14.4" thickBot="1" x14ac:dyDescent="0.35">
      <c r="B13" s="138" t="s">
        <v>271</v>
      </c>
      <c r="C13" s="248">
        <v>2009</v>
      </c>
      <c r="D13" s="248">
        <v>2010</v>
      </c>
      <c r="E13" s="248">
        <v>2011</v>
      </c>
      <c r="F13" s="248">
        <v>2012</v>
      </c>
      <c r="G13" s="248">
        <v>2013</v>
      </c>
      <c r="H13" s="248">
        <v>2014</v>
      </c>
      <c r="I13" s="248">
        <v>2015</v>
      </c>
      <c r="J13" s="248">
        <v>2016</v>
      </c>
      <c r="K13" s="248">
        <v>2017</v>
      </c>
    </row>
    <row r="14" spans="1:11" x14ac:dyDescent="0.3">
      <c r="A14" s="23"/>
      <c r="B14" s="133" t="s">
        <v>43</v>
      </c>
      <c r="C14" s="249">
        <v>2441.0880000000002</v>
      </c>
      <c r="D14" s="249">
        <v>2441.0880000000002</v>
      </c>
      <c r="E14" s="249">
        <v>2691.759</v>
      </c>
      <c r="F14" s="249">
        <v>2435.8110000000001</v>
      </c>
      <c r="G14" s="249">
        <v>2466.08</v>
      </c>
      <c r="H14" s="249">
        <v>3023.41</v>
      </c>
      <c r="I14" s="249">
        <v>4950.6450000000004</v>
      </c>
      <c r="J14" s="249">
        <v>2599.5709999999999</v>
      </c>
      <c r="K14" s="249">
        <v>2696.1590000000001</v>
      </c>
    </row>
    <row r="15" spans="1:11" x14ac:dyDescent="0.3">
      <c r="A15" s="23"/>
      <c r="B15" s="136" t="s">
        <v>44</v>
      </c>
      <c r="C15" s="157">
        <f>SUM(C16:C17)</f>
        <v>834</v>
      </c>
      <c r="D15" s="157">
        <v>834</v>
      </c>
      <c r="E15" s="157">
        <v>1019</v>
      </c>
      <c r="F15" s="157">
        <v>976</v>
      </c>
      <c r="G15" s="157">
        <v>1213</v>
      </c>
      <c r="H15" s="157">
        <v>1281</v>
      </c>
      <c r="I15" s="157">
        <v>2789</v>
      </c>
      <c r="J15" s="157">
        <v>796.34500000000003</v>
      </c>
      <c r="K15" s="157">
        <v>631.81200000000001</v>
      </c>
    </row>
    <row r="16" spans="1:11" x14ac:dyDescent="0.3">
      <c r="A16" s="23"/>
      <c r="B16" s="134" t="s">
        <v>45</v>
      </c>
      <c r="C16" s="157">
        <v>635</v>
      </c>
      <c r="D16" s="157">
        <v>635</v>
      </c>
      <c r="E16" s="157">
        <v>873</v>
      </c>
      <c r="F16" s="157">
        <v>812</v>
      </c>
      <c r="G16" s="157">
        <v>970</v>
      </c>
      <c r="H16" s="157">
        <v>971</v>
      </c>
      <c r="I16" s="157">
        <v>2345.375</v>
      </c>
      <c r="J16" s="157">
        <v>506.88200000000001</v>
      </c>
      <c r="K16" s="157">
        <v>440.24799999999999</v>
      </c>
    </row>
    <row r="17" spans="1:11" x14ac:dyDescent="0.3">
      <c r="A17" s="23"/>
      <c r="B17" s="137" t="s">
        <v>54</v>
      </c>
      <c r="C17" s="158">
        <v>199</v>
      </c>
      <c r="D17" s="158">
        <v>199</v>
      </c>
      <c r="E17" s="158">
        <v>146</v>
      </c>
      <c r="F17" s="158">
        <v>164</v>
      </c>
      <c r="G17" s="158">
        <v>243</v>
      </c>
      <c r="H17" s="158">
        <v>310</v>
      </c>
      <c r="I17" s="159">
        <v>443.44</v>
      </c>
      <c r="J17" s="159">
        <v>289.46300000000002</v>
      </c>
      <c r="K17" s="159">
        <v>191.56399999999999</v>
      </c>
    </row>
    <row r="18" spans="1:11" ht="14.4" thickBot="1" x14ac:dyDescent="0.35">
      <c r="A18" s="23"/>
      <c r="B18" s="81" t="s">
        <v>46</v>
      </c>
      <c r="C18" s="283">
        <f>C14-C16</f>
        <v>1806.0880000000002</v>
      </c>
      <c r="D18" s="283">
        <v>1806.0880000000002</v>
      </c>
      <c r="E18" s="283">
        <v>1818.759</v>
      </c>
      <c r="F18" s="283">
        <v>1623.8110000000001</v>
      </c>
      <c r="G18" s="283">
        <v>1496.08</v>
      </c>
      <c r="H18" s="283">
        <v>2052.41</v>
      </c>
      <c r="I18" s="283">
        <v>2605.2700000000004</v>
      </c>
      <c r="J18" s="283">
        <v>2092.6889999999999</v>
      </c>
      <c r="K18" s="283">
        <v>2255.9110000000001</v>
      </c>
    </row>
    <row r="19" spans="1:11" ht="14.4" x14ac:dyDescent="0.3">
      <c r="A19" s="23"/>
      <c r="B19" s="133" t="s">
        <v>352</v>
      </c>
      <c r="C19" s="161"/>
      <c r="D19" s="161"/>
      <c r="E19" s="161"/>
      <c r="F19" s="158"/>
      <c r="G19" s="158">
        <v>1686.1845000000001</v>
      </c>
      <c r="H19" s="158">
        <v>1747.7649999999999</v>
      </c>
      <c r="I19" s="158">
        <v>1944.39275</v>
      </c>
      <c r="J19" s="158">
        <v>2061.6122500000001</v>
      </c>
      <c r="K19" s="158">
        <v>2251.5700000000002</v>
      </c>
    </row>
    <row r="20" spans="1:11" ht="14.4" x14ac:dyDescent="0.3">
      <c r="A20" s="23"/>
      <c r="B20"/>
      <c r="C20" s="282"/>
      <c r="D20" s="282"/>
      <c r="E20" s="282"/>
      <c r="F20" s="282"/>
      <c r="G20" s="282"/>
      <c r="H20" s="282"/>
      <c r="I20" s="282"/>
      <c r="J20" s="23"/>
    </row>
    <row r="21" spans="1:11" ht="14.4" x14ac:dyDescent="0.3">
      <c r="B21"/>
      <c r="C21" s="282"/>
      <c r="D21" s="282"/>
      <c r="E21" s="282"/>
      <c r="F21" s="282"/>
      <c r="G21" s="282"/>
      <c r="H21" s="282"/>
      <c r="I21" s="282"/>
    </row>
    <row r="22" spans="1:11" ht="14.4" x14ac:dyDescent="0.3">
      <c r="B22"/>
      <c r="C22" s="282"/>
      <c r="D22" s="282"/>
      <c r="E22" s="282"/>
      <c r="F22" s="282"/>
      <c r="G22" s="282"/>
      <c r="H22" s="282"/>
      <c r="I22" s="282"/>
    </row>
    <row r="23" spans="1:11" ht="14.4" x14ac:dyDescent="0.3">
      <c r="B23"/>
      <c r="C23" s="282"/>
      <c r="D23" s="282"/>
      <c r="E23" s="282"/>
      <c r="F23" s="282"/>
      <c r="G23" s="282"/>
      <c r="H23" s="282"/>
      <c r="I23" s="282"/>
    </row>
    <row r="24" spans="1:11" ht="14.4" x14ac:dyDescent="0.3">
      <c r="B24"/>
      <c r="C24" s="282"/>
      <c r="D24" s="282"/>
      <c r="E24" s="282"/>
      <c r="F24" s="282"/>
      <c r="G24" s="282"/>
      <c r="H24" s="282"/>
      <c r="I24" s="282"/>
    </row>
    <row r="25" spans="1:11" ht="14.4" x14ac:dyDescent="0.3">
      <c r="B25"/>
      <c r="C25" s="282"/>
      <c r="D25" s="282"/>
      <c r="E25" s="282"/>
      <c r="F25" s="282"/>
      <c r="G25" s="282"/>
      <c r="H25" s="282"/>
      <c r="I25" s="282"/>
    </row>
    <row r="26" spans="1:11" ht="14.4" x14ac:dyDescent="0.3">
      <c r="B26"/>
      <c r="C26"/>
      <c r="D26"/>
      <c r="E26"/>
      <c r="F26"/>
      <c r="G26"/>
      <c r="H26"/>
      <c r="I26"/>
    </row>
    <row r="27" spans="1:11" ht="14.4" x14ac:dyDescent="0.3">
      <c r="B27"/>
      <c r="C27"/>
      <c r="D27"/>
      <c r="E27"/>
      <c r="F27"/>
      <c r="G27"/>
      <c r="H27"/>
      <c r="I27"/>
    </row>
    <row r="28" spans="1:11" ht="14.4" x14ac:dyDescent="0.3">
      <c r="B28"/>
      <c r="C28"/>
      <c r="D28"/>
      <c r="E28"/>
      <c r="F28"/>
      <c r="G28"/>
      <c r="H28"/>
      <c r="I28"/>
    </row>
    <row r="29" spans="1:11" ht="14.4" x14ac:dyDescent="0.3">
      <c r="B29"/>
      <c r="C29"/>
      <c r="D29"/>
      <c r="E29"/>
      <c r="F29"/>
      <c r="G29"/>
      <c r="H29"/>
      <c r="I29"/>
    </row>
  </sheetData>
  <mergeCells count="2">
    <mergeCell ref="B2:I2"/>
    <mergeCell ref="B12:I1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zoomScale="90" zoomScaleNormal="90" workbookViewId="0"/>
  </sheetViews>
  <sheetFormatPr defaultColWidth="9.109375" defaultRowHeight="14.4" x14ac:dyDescent="0.3"/>
  <cols>
    <col min="1" max="2" width="23.109375" style="253" customWidth="1"/>
    <col min="3" max="16384" width="9.109375" style="253"/>
  </cols>
  <sheetData>
    <row r="1" spans="1:2" x14ac:dyDescent="0.3">
      <c r="A1" s="281"/>
    </row>
    <row r="3" spans="1:2" x14ac:dyDescent="0.3">
      <c r="A3" s="254"/>
      <c r="B3" s="254"/>
    </row>
    <row r="4" spans="1:2" x14ac:dyDescent="0.3">
      <c r="A4" s="254"/>
      <c r="B4" s="254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3"/>
  <sheetViews>
    <sheetView showGridLines="0" zoomScale="90" zoomScaleNormal="90" workbookViewId="0">
      <pane xSplit="3" ySplit="6" topLeftCell="D68" activePane="bottomRight" state="frozen"/>
      <selection activeCell="H36" sqref="H35:H36"/>
      <selection pane="topRight" activeCell="H36" sqref="H35:H36"/>
      <selection pane="bottomLeft" activeCell="H36" sqref="H35:H36"/>
      <selection pane="bottomRight" activeCell="M90" sqref="M90"/>
    </sheetView>
  </sheetViews>
  <sheetFormatPr defaultColWidth="9.109375" defaultRowHeight="13.2" x14ac:dyDescent="0.3"/>
  <cols>
    <col min="1" max="1" width="40.88671875" style="84" customWidth="1"/>
    <col min="2" max="2" width="40.88671875" style="84" hidden="1" customWidth="1"/>
    <col min="3" max="3" width="19.6640625" style="84" customWidth="1"/>
    <col min="4" max="4" width="14.33203125" style="84" bestFit="1" customWidth="1"/>
    <col min="5" max="11" width="10.109375" style="84" bestFit="1" customWidth="1"/>
    <col min="12" max="12" width="9.5546875" style="84" bestFit="1" customWidth="1"/>
    <col min="13" max="16384" width="9.109375" style="84"/>
  </cols>
  <sheetData>
    <row r="1" spans="1:17" ht="15.75" customHeight="1" x14ac:dyDescent="0.3">
      <c r="A1" s="83"/>
      <c r="B1" s="83"/>
    </row>
    <row r="2" spans="1:17" ht="15.75" customHeight="1" x14ac:dyDescent="0.3"/>
    <row r="3" spans="1:17" ht="16.5" customHeight="1" x14ac:dyDescent="0.3">
      <c r="A3" s="85" t="s">
        <v>61</v>
      </c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7" ht="16.5" customHeight="1" x14ac:dyDescent="0.3">
      <c r="A4" s="87"/>
      <c r="B4" s="87"/>
      <c r="C4" s="458" t="s">
        <v>353</v>
      </c>
      <c r="D4" s="334">
        <v>2008</v>
      </c>
      <c r="E4" s="334">
        <v>2009</v>
      </c>
      <c r="F4" s="334">
        <v>2010</v>
      </c>
      <c r="G4" s="88">
        <v>2011</v>
      </c>
      <c r="H4" s="89">
        <v>2012</v>
      </c>
      <c r="I4" s="89">
        <v>2013</v>
      </c>
      <c r="J4" s="89">
        <v>2014</v>
      </c>
      <c r="K4" s="89">
        <v>2015</v>
      </c>
      <c r="L4" s="89">
        <v>2016</v>
      </c>
      <c r="M4" s="89">
        <v>2017</v>
      </c>
    </row>
    <row r="5" spans="1:17" x14ac:dyDescent="0.3">
      <c r="A5" s="87"/>
      <c r="B5" s="87"/>
      <c r="C5" s="459"/>
      <c r="D5" s="333" t="s">
        <v>51</v>
      </c>
      <c r="E5" s="333" t="s">
        <v>51</v>
      </c>
      <c r="F5" s="333" t="s">
        <v>51</v>
      </c>
      <c r="G5" s="90" t="s">
        <v>51</v>
      </c>
      <c r="H5" s="90" t="s">
        <v>51</v>
      </c>
      <c r="I5" s="90" t="s">
        <v>51</v>
      </c>
      <c r="J5" s="90" t="s">
        <v>62</v>
      </c>
      <c r="K5" s="90" t="s">
        <v>62</v>
      </c>
      <c r="L5" s="90" t="s">
        <v>51</v>
      </c>
      <c r="M5" s="90" t="s">
        <v>51</v>
      </c>
    </row>
    <row r="6" spans="1:17" x14ac:dyDescent="0.3">
      <c r="A6" s="91"/>
      <c r="B6" s="91"/>
      <c r="C6" s="459"/>
      <c r="D6" s="334" t="s">
        <v>63</v>
      </c>
      <c r="E6" s="334" t="s">
        <v>63</v>
      </c>
      <c r="F6" s="334" t="s">
        <v>63</v>
      </c>
      <c r="G6" s="334" t="s">
        <v>63</v>
      </c>
      <c r="H6" s="334" t="s">
        <v>63</v>
      </c>
      <c r="I6" s="334" t="s">
        <v>63</v>
      </c>
      <c r="J6" s="334" t="s">
        <v>63</v>
      </c>
      <c r="K6" s="334" t="s">
        <v>63</v>
      </c>
      <c r="L6" s="334" t="s">
        <v>63</v>
      </c>
      <c r="M6" s="344" t="s">
        <v>63</v>
      </c>
    </row>
    <row r="7" spans="1:17" ht="16.5" customHeight="1" x14ac:dyDescent="0.3">
      <c r="A7" s="92" t="s">
        <v>64</v>
      </c>
      <c r="B7" s="92" t="s">
        <v>65</v>
      </c>
      <c r="C7" s="459"/>
      <c r="D7" s="93">
        <f t="shared" ref="D7:L7" si="0">D9+D24+D30+D37</f>
        <v>23636.485000000001</v>
      </c>
      <c r="E7" s="93">
        <f t="shared" si="0"/>
        <v>23227.662</v>
      </c>
      <c r="F7" s="93">
        <f t="shared" si="0"/>
        <v>23422.342000000001</v>
      </c>
      <c r="G7" s="93">
        <f t="shared" si="0"/>
        <v>25807.131000000001</v>
      </c>
      <c r="H7" s="93">
        <f t="shared" si="0"/>
        <v>26380.595999999998</v>
      </c>
      <c r="I7" s="93">
        <f t="shared" si="0"/>
        <v>28719.138999999996</v>
      </c>
      <c r="J7" s="93">
        <f t="shared" si="0"/>
        <v>29927.375000000004</v>
      </c>
      <c r="K7" s="93">
        <f t="shared" si="0"/>
        <v>33656.864000000001</v>
      </c>
      <c r="L7" s="93">
        <f t="shared" si="0"/>
        <v>31863.859</v>
      </c>
      <c r="M7" s="93">
        <f t="shared" ref="M7" si="1">M9+M24+M30+M37</f>
        <v>33451.970999999998</v>
      </c>
      <c r="N7" s="349"/>
      <c r="O7" s="349"/>
      <c r="P7" s="349"/>
    </row>
    <row r="8" spans="1:17" ht="16.5" customHeight="1" x14ac:dyDescent="0.3">
      <c r="A8" s="94" t="s">
        <v>33</v>
      </c>
      <c r="B8" s="94" t="s">
        <v>66</v>
      </c>
      <c r="C8" s="460"/>
      <c r="D8" s="365">
        <f>D7/D90</f>
        <v>0.34510049407518584</v>
      </c>
      <c r="E8" s="365">
        <f t="shared" ref="E8:K8" si="2">E7/E90</f>
        <v>0.36280127016654928</v>
      </c>
      <c r="F8" s="365">
        <f t="shared" si="2"/>
        <v>0.34660073722980939</v>
      </c>
      <c r="G8" s="365">
        <f t="shared" si="2"/>
        <v>0.36539932207421505</v>
      </c>
      <c r="H8" s="365">
        <f t="shared" si="2"/>
        <v>0.36285180218283847</v>
      </c>
      <c r="I8" s="365">
        <f t="shared" si="2"/>
        <v>0.38720760651700176</v>
      </c>
      <c r="J8" s="365">
        <f t="shared" si="2"/>
        <v>0.39332691083979326</v>
      </c>
      <c r="K8" s="365">
        <f t="shared" si="2"/>
        <v>0.42529203517055636</v>
      </c>
      <c r="L8" s="365">
        <f>L7/L90</f>
        <v>0.39228609513105478</v>
      </c>
      <c r="M8" s="365">
        <f>M7/M90</f>
        <v>0.39424427142612578</v>
      </c>
      <c r="N8" s="349"/>
      <c r="O8" s="349"/>
      <c r="P8" s="349"/>
    </row>
    <row r="9" spans="1:17" s="351" customFormat="1" ht="16.5" customHeight="1" x14ac:dyDescent="0.3">
      <c r="A9" s="95" t="s">
        <v>16</v>
      </c>
      <c r="B9" s="95" t="s">
        <v>67</v>
      </c>
      <c r="C9" s="96" t="s">
        <v>68</v>
      </c>
      <c r="D9" s="350">
        <f t="shared" ref="D9:L9" si="3">D10+D15+D23</f>
        <v>11680.142000000002</v>
      </c>
      <c r="E9" s="350">
        <f t="shared" si="3"/>
        <v>10368.727999999999</v>
      </c>
      <c r="F9" s="350">
        <f t="shared" si="3"/>
        <v>10591.187</v>
      </c>
      <c r="G9" s="350">
        <f t="shared" si="3"/>
        <v>11431.008</v>
      </c>
      <c r="H9" s="350">
        <f t="shared" si="3"/>
        <v>11391.065000000001</v>
      </c>
      <c r="I9" s="350">
        <f t="shared" si="3"/>
        <v>12346.803999999998</v>
      </c>
      <c r="J9" s="350">
        <f t="shared" si="3"/>
        <v>13251.973000000002</v>
      </c>
      <c r="K9" s="350">
        <f t="shared" si="3"/>
        <v>14302.079</v>
      </c>
      <c r="L9" s="350">
        <f t="shared" si="3"/>
        <v>14573.064</v>
      </c>
      <c r="M9" s="350">
        <f t="shared" ref="M9" si="4">M10+M15+M23</f>
        <v>15489.357</v>
      </c>
      <c r="N9" s="349"/>
      <c r="O9" s="349"/>
      <c r="P9" s="349"/>
      <c r="Q9" s="349"/>
    </row>
    <row r="10" spans="1:17" s="354" customFormat="1" ht="16.5" customHeight="1" x14ac:dyDescent="0.3">
      <c r="A10" s="97" t="s">
        <v>69</v>
      </c>
      <c r="B10" s="97" t="s">
        <v>70</v>
      </c>
      <c r="C10" s="98" t="s">
        <v>71</v>
      </c>
      <c r="D10" s="352">
        <v>7078.8890000000001</v>
      </c>
      <c r="E10" s="352">
        <v>6630.0069999999996</v>
      </c>
      <c r="F10" s="352">
        <v>6779.116</v>
      </c>
      <c r="G10" s="352">
        <v>7377.5659999999998</v>
      </c>
      <c r="H10" s="352">
        <v>7163.223</v>
      </c>
      <c r="I10" s="352">
        <v>7632.2809999999999</v>
      </c>
      <c r="J10" s="352">
        <v>8045.2539999999999</v>
      </c>
      <c r="K10" s="353">
        <v>8506.1839999999993</v>
      </c>
      <c r="L10" s="352">
        <v>8630.3019999999997</v>
      </c>
      <c r="M10" s="352">
        <v>9250.8539999999994</v>
      </c>
      <c r="N10" s="349"/>
      <c r="O10" s="349"/>
      <c r="P10" s="349"/>
      <c r="Q10" s="349"/>
    </row>
    <row r="11" spans="1:17" s="354" customFormat="1" ht="16.5" customHeight="1" x14ac:dyDescent="0.3">
      <c r="A11" s="99" t="s">
        <v>72</v>
      </c>
      <c r="B11" s="99" t="s">
        <v>73</v>
      </c>
      <c r="C11" s="100" t="s">
        <v>74</v>
      </c>
      <c r="D11" s="352">
        <v>4621.424</v>
      </c>
      <c r="E11" s="352">
        <v>4221.2879999999996</v>
      </c>
      <c r="F11" s="352">
        <v>4182.1009999999997</v>
      </c>
      <c r="G11" s="352">
        <v>4710.9139999999998</v>
      </c>
      <c r="H11" s="352">
        <v>4327.7020000000002</v>
      </c>
      <c r="I11" s="352">
        <v>4696.12</v>
      </c>
      <c r="J11" s="352">
        <v>5021.1310000000003</v>
      </c>
      <c r="K11" s="353">
        <v>5420.1729999999998</v>
      </c>
      <c r="L11" s="352">
        <v>5419.65</v>
      </c>
      <c r="M11" s="352">
        <v>5916.5889999999999</v>
      </c>
      <c r="N11" s="349"/>
      <c r="O11" s="349"/>
      <c r="P11" s="349"/>
      <c r="Q11" s="349"/>
    </row>
    <row r="12" spans="1:17" s="354" customFormat="1" ht="16.5" customHeight="1" x14ac:dyDescent="0.3">
      <c r="A12" s="101" t="s">
        <v>75</v>
      </c>
      <c r="B12" s="101" t="s">
        <v>76</v>
      </c>
      <c r="C12" s="100" t="s">
        <v>77</v>
      </c>
      <c r="D12" s="352">
        <f>0+1809.268</f>
        <v>1809.268</v>
      </c>
      <c r="E12" s="352">
        <f>0+1761.719</f>
        <v>1761.7190000000001</v>
      </c>
      <c r="F12" s="352">
        <f>0+1930.806</f>
        <v>1930.806</v>
      </c>
      <c r="G12" s="352">
        <f>0+1999.131</f>
        <v>1999.1310000000001</v>
      </c>
      <c r="H12" s="352">
        <f>0+1973.341</f>
        <v>1973.3409999999999</v>
      </c>
      <c r="I12" s="352">
        <v>1984.7829999999999</v>
      </c>
      <c r="J12" s="352">
        <v>2014.9939999999999</v>
      </c>
      <c r="K12" s="352">
        <v>2108.2240000000002</v>
      </c>
      <c r="L12" s="352">
        <v>2173.884</v>
      </c>
      <c r="M12" s="352">
        <v>2271.5810000000001</v>
      </c>
      <c r="N12" s="349"/>
      <c r="O12" s="349"/>
      <c r="P12" s="349"/>
      <c r="Q12" s="349"/>
    </row>
    <row r="13" spans="1:17" s="354" customFormat="1" ht="16.5" customHeight="1" x14ac:dyDescent="0.3">
      <c r="A13" s="99" t="s">
        <v>78</v>
      </c>
      <c r="B13" s="99" t="s">
        <v>79</v>
      </c>
      <c r="C13" s="100" t="s">
        <v>80</v>
      </c>
      <c r="D13" s="352">
        <v>3.3000000000000002E-2</v>
      </c>
      <c r="E13" s="352">
        <v>2.1999999999999999E-2</v>
      </c>
      <c r="F13" s="352">
        <v>1.9E-2</v>
      </c>
      <c r="G13" s="352">
        <v>5.5E-2</v>
      </c>
      <c r="H13" s="352">
        <v>8.3000000000000004E-2</v>
      </c>
      <c r="I13" s="352">
        <v>5.8000000000000003E-2</v>
      </c>
      <c r="J13" s="352">
        <v>-7.0000000000000001E-3</v>
      </c>
      <c r="K13" s="353">
        <v>0.02</v>
      </c>
      <c r="L13" s="352">
        <v>3.9E-2</v>
      </c>
      <c r="M13" s="352">
        <v>8.0000000000000002E-3</v>
      </c>
      <c r="N13" s="349"/>
      <c r="O13" s="349"/>
      <c r="P13" s="349"/>
      <c r="Q13" s="349"/>
    </row>
    <row r="14" spans="1:17" s="354" customFormat="1" ht="16.5" customHeight="1" x14ac:dyDescent="0.3">
      <c r="A14" s="101" t="s">
        <v>81</v>
      </c>
      <c r="B14" s="101" t="s">
        <v>82</v>
      </c>
      <c r="C14" s="100" t="s">
        <v>83</v>
      </c>
      <c r="D14" s="352">
        <v>171.512</v>
      </c>
      <c r="E14" s="352">
        <v>182.28200000000001</v>
      </c>
      <c r="F14" s="352">
        <v>188.87</v>
      </c>
      <c r="G14" s="352">
        <v>195.32599999999999</v>
      </c>
      <c r="H14" s="352">
        <v>215.346</v>
      </c>
      <c r="I14" s="352">
        <v>222.65199999999999</v>
      </c>
      <c r="J14" s="352">
        <v>224.87299999999999</v>
      </c>
      <c r="K14" s="353">
        <v>228.214</v>
      </c>
      <c r="L14" s="352">
        <v>236.89500000000001</v>
      </c>
      <c r="M14" s="352">
        <v>256.11766666666665</v>
      </c>
      <c r="N14" s="349"/>
      <c r="O14" s="349"/>
      <c r="P14" s="349"/>
      <c r="Q14" s="349"/>
    </row>
    <row r="15" spans="1:17" ht="16.5" customHeight="1" x14ac:dyDescent="0.3">
      <c r="A15" s="102" t="s">
        <v>84</v>
      </c>
      <c r="B15" s="102" t="s">
        <v>85</v>
      </c>
      <c r="C15" s="98" t="s">
        <v>86</v>
      </c>
      <c r="D15" s="352">
        <v>4601.1530000000002</v>
      </c>
      <c r="E15" s="355">
        <v>3738.6759999999999</v>
      </c>
      <c r="F15" s="355">
        <v>3812.0509999999999</v>
      </c>
      <c r="G15" s="355">
        <v>4053.4290000000001</v>
      </c>
      <c r="H15" s="355">
        <v>4227.83</v>
      </c>
      <c r="I15" s="352">
        <v>4714.5159999999996</v>
      </c>
      <c r="J15" s="352">
        <v>5206.7150000000001</v>
      </c>
      <c r="K15" s="353">
        <v>5795.9009999999998</v>
      </c>
      <c r="L15" s="352">
        <v>5942.7579999999998</v>
      </c>
      <c r="M15" s="352">
        <v>6238.5029999999997</v>
      </c>
      <c r="N15" s="349"/>
      <c r="O15" s="349"/>
      <c r="P15" s="349"/>
      <c r="Q15" s="349"/>
    </row>
    <row r="16" spans="1:17" ht="16.5" customHeight="1" x14ac:dyDescent="0.3">
      <c r="A16" s="99" t="s">
        <v>87</v>
      </c>
      <c r="B16" s="99" t="s">
        <v>88</v>
      </c>
      <c r="C16" s="100" t="s">
        <v>89</v>
      </c>
      <c r="D16" s="352">
        <v>2095.1779999999999</v>
      </c>
      <c r="E16" s="355">
        <v>1793.693</v>
      </c>
      <c r="F16" s="355">
        <v>1789.5650000000001</v>
      </c>
      <c r="G16" s="355">
        <v>1999.8820000000001</v>
      </c>
      <c r="H16" s="355">
        <v>2122.7759999999998</v>
      </c>
      <c r="I16" s="352">
        <v>2175.0250000000001</v>
      </c>
      <c r="J16" s="353">
        <v>2275.1170000000002</v>
      </c>
      <c r="K16" s="353">
        <v>2463.6419999999998</v>
      </c>
      <c r="L16" s="352">
        <v>2679.4659999999999</v>
      </c>
      <c r="M16" s="352">
        <v>2856.0650000000001</v>
      </c>
      <c r="N16" s="349"/>
      <c r="O16" s="349"/>
      <c r="P16" s="349"/>
      <c r="Q16" s="349"/>
    </row>
    <row r="17" spans="1:17" ht="16.5" customHeight="1" x14ac:dyDescent="0.3">
      <c r="A17" s="103" t="s">
        <v>90</v>
      </c>
      <c r="B17" s="103" t="s">
        <v>91</v>
      </c>
      <c r="C17" s="100"/>
      <c r="D17" s="353">
        <f>0+1639.776</f>
        <v>1639.7760000000001</v>
      </c>
      <c r="E17" s="356">
        <v>1468.115</v>
      </c>
      <c r="F17" s="356">
        <v>1431.1880000000001</v>
      </c>
      <c r="G17" s="356">
        <v>1638.58</v>
      </c>
      <c r="H17" s="356">
        <v>1763.433</v>
      </c>
      <c r="I17" s="353">
        <v>1788.0440000000001</v>
      </c>
      <c r="J17" s="353">
        <v>1903.7840000000001</v>
      </c>
      <c r="K17" s="353">
        <v>2082.0563000000002</v>
      </c>
      <c r="L17" s="352">
        <v>2291.7849999999999</v>
      </c>
      <c r="M17" s="352">
        <v>2734.1680000000001</v>
      </c>
      <c r="N17" s="349"/>
      <c r="O17" s="349"/>
      <c r="P17" s="349"/>
      <c r="Q17" s="349"/>
    </row>
    <row r="18" spans="1:17" ht="16.5" customHeight="1" x14ac:dyDescent="0.3">
      <c r="A18" s="103" t="s">
        <v>92</v>
      </c>
      <c r="B18" s="103" t="s">
        <v>93</v>
      </c>
      <c r="C18" s="100"/>
      <c r="D18" s="353">
        <f>0+202.365</f>
        <v>202.36500000000001</v>
      </c>
      <c r="E18" s="356">
        <v>188.64599999999999</v>
      </c>
      <c r="F18" s="356">
        <v>47.405999999999999</v>
      </c>
      <c r="G18" s="356">
        <v>59.451999999999998</v>
      </c>
      <c r="H18" s="356">
        <v>85.807000000000002</v>
      </c>
      <c r="I18" s="353">
        <v>79.712000000000003</v>
      </c>
      <c r="J18" s="353">
        <v>82.671000000000006</v>
      </c>
      <c r="K18" s="353">
        <v>100.68899999999999</v>
      </c>
      <c r="L18" s="352">
        <v>111.893</v>
      </c>
      <c r="M18" s="352">
        <v>131.745</v>
      </c>
      <c r="N18" s="349"/>
      <c r="O18" s="349"/>
      <c r="P18" s="349"/>
      <c r="Q18" s="349"/>
    </row>
    <row r="19" spans="1:17" ht="16.5" customHeight="1" x14ac:dyDescent="0.3">
      <c r="A19" s="104" t="s">
        <v>94</v>
      </c>
      <c r="B19" s="104" t="s">
        <v>95</v>
      </c>
      <c r="C19" s="100" t="s">
        <v>96</v>
      </c>
      <c r="D19" s="353">
        <v>2087.4659999999999</v>
      </c>
      <c r="E19" s="356">
        <v>1576.972</v>
      </c>
      <c r="F19" s="356">
        <v>1659.23</v>
      </c>
      <c r="G19" s="356">
        <v>1699.1869999999999</v>
      </c>
      <c r="H19" s="356">
        <v>1714.779</v>
      </c>
      <c r="I19" s="353">
        <v>2117.8330000000001</v>
      </c>
      <c r="J19" s="353">
        <v>2504.402</v>
      </c>
      <c r="K19" s="353">
        <v>2916.8159999999998</v>
      </c>
      <c r="L19" s="352">
        <v>2817.558</v>
      </c>
      <c r="M19" s="352">
        <v>2933.2550000000001</v>
      </c>
      <c r="N19" s="349"/>
      <c r="O19" s="349"/>
      <c r="P19" s="349"/>
      <c r="Q19" s="349"/>
    </row>
    <row r="20" spans="1:17" ht="16.5" customHeight="1" x14ac:dyDescent="0.3">
      <c r="A20" s="105" t="s">
        <v>97</v>
      </c>
      <c r="B20" s="105" t="s">
        <v>98</v>
      </c>
      <c r="C20" s="100" t="s">
        <v>99</v>
      </c>
      <c r="D20" s="353">
        <v>205.96799999999999</v>
      </c>
      <c r="E20" s="356">
        <v>155.755</v>
      </c>
      <c r="F20" s="356">
        <v>152.33199999999999</v>
      </c>
      <c r="G20" s="356">
        <v>143.19999999999999</v>
      </c>
      <c r="H20" s="356">
        <v>167.14400000000001</v>
      </c>
      <c r="I20" s="353">
        <v>177.78399999999999</v>
      </c>
      <c r="J20" s="353">
        <v>175.06100000000001</v>
      </c>
      <c r="K20" s="353">
        <v>162.006</v>
      </c>
      <c r="L20" s="352">
        <v>172.21199999999999</v>
      </c>
      <c r="M20" s="352">
        <v>171.56399999999999</v>
      </c>
      <c r="N20" s="349"/>
      <c r="O20" s="349"/>
      <c r="P20" s="349"/>
      <c r="Q20" s="349"/>
    </row>
    <row r="21" spans="1:17" s="354" customFormat="1" ht="16.5" customHeight="1" x14ac:dyDescent="0.3">
      <c r="A21" s="105" t="s">
        <v>100</v>
      </c>
      <c r="B21" s="105" t="s">
        <v>101</v>
      </c>
      <c r="C21" s="100" t="s">
        <v>99</v>
      </c>
      <c r="D21" s="353">
        <v>0</v>
      </c>
      <c r="E21" s="353">
        <v>0</v>
      </c>
      <c r="F21" s="353">
        <v>0</v>
      </c>
      <c r="G21" s="353">
        <v>0</v>
      </c>
      <c r="H21" s="353">
        <f>10.028-10.028</f>
        <v>0</v>
      </c>
      <c r="I21" s="353">
        <v>0</v>
      </c>
      <c r="J21" s="353">
        <v>0</v>
      </c>
      <c r="K21" s="353">
        <v>0</v>
      </c>
      <c r="L21" s="352">
        <v>0</v>
      </c>
      <c r="M21" s="352">
        <v>0</v>
      </c>
      <c r="N21" s="349"/>
      <c r="O21" s="349"/>
      <c r="P21" s="349"/>
      <c r="Q21" s="349"/>
    </row>
    <row r="22" spans="1:17" ht="16.5" customHeight="1" x14ac:dyDescent="0.3">
      <c r="A22" s="104" t="s">
        <v>81</v>
      </c>
      <c r="B22" s="104" t="s">
        <v>102</v>
      </c>
      <c r="C22" s="100" t="s">
        <v>103</v>
      </c>
      <c r="D22" s="353">
        <v>78.835999999999999</v>
      </c>
      <c r="E22" s="353">
        <v>84.311999999999998</v>
      </c>
      <c r="F22" s="353">
        <v>87.986999999999995</v>
      </c>
      <c r="G22" s="353">
        <v>90.650999999999996</v>
      </c>
      <c r="H22" s="353">
        <v>100.535</v>
      </c>
      <c r="I22" s="353">
        <v>104.57899999999999</v>
      </c>
      <c r="J22" s="353">
        <v>105.777</v>
      </c>
      <c r="K22" s="353">
        <v>106.937</v>
      </c>
      <c r="L22" s="352">
        <v>111.006</v>
      </c>
      <c r="M22" s="352">
        <v>118.55433333333333</v>
      </c>
      <c r="N22" s="349"/>
      <c r="O22" s="349"/>
      <c r="P22" s="349"/>
      <c r="Q22" s="349"/>
    </row>
    <row r="23" spans="1:17" ht="16.5" customHeight="1" x14ac:dyDescent="0.3">
      <c r="A23" s="106" t="s">
        <v>104</v>
      </c>
      <c r="B23" s="106" t="s">
        <v>105</v>
      </c>
      <c r="C23" s="98" t="s">
        <v>106</v>
      </c>
      <c r="D23" s="352">
        <v>0.1</v>
      </c>
      <c r="E23" s="353">
        <v>4.4999999999999998E-2</v>
      </c>
      <c r="F23" s="353">
        <v>0.02</v>
      </c>
      <c r="G23" s="353">
        <v>1.2999999999999999E-2</v>
      </c>
      <c r="H23" s="353">
        <v>1.2E-2</v>
      </c>
      <c r="I23" s="353">
        <v>7.0000000000000001E-3</v>
      </c>
      <c r="J23" s="353">
        <v>4.0000000000000001E-3</v>
      </c>
      <c r="K23" s="353">
        <v>-6.0000000000000001E-3</v>
      </c>
      <c r="L23" s="352">
        <v>4.0000000000000001E-3</v>
      </c>
      <c r="M23" s="352">
        <v>0</v>
      </c>
      <c r="N23" s="349"/>
      <c r="O23" s="349"/>
      <c r="P23" s="349"/>
      <c r="Q23" s="349"/>
    </row>
    <row r="24" spans="1:17" s="351" customFormat="1" ht="16.5" customHeight="1" x14ac:dyDescent="0.3">
      <c r="A24" s="107" t="s">
        <v>107</v>
      </c>
      <c r="B24" s="107" t="s">
        <v>108</v>
      </c>
      <c r="C24" s="96" t="s">
        <v>109</v>
      </c>
      <c r="D24" s="350">
        <f>D25+D29</f>
        <v>8081.1660000000002</v>
      </c>
      <c r="E24" s="350">
        <f t="shared" ref="E24:K24" si="5">E25+E29</f>
        <v>8042.8820000000005</v>
      </c>
      <c r="F24" s="350">
        <f t="shared" si="5"/>
        <v>8323.8810000000012</v>
      </c>
      <c r="G24" s="350">
        <f t="shared" si="5"/>
        <v>8721.9049999999988</v>
      </c>
      <c r="H24" s="350">
        <f t="shared" si="5"/>
        <v>9107.7000000000007</v>
      </c>
      <c r="I24" s="350">
        <f t="shared" si="5"/>
        <v>10006.788</v>
      </c>
      <c r="J24" s="350">
        <f t="shared" si="5"/>
        <v>10360.110999999999</v>
      </c>
      <c r="K24" s="350">
        <f t="shared" si="5"/>
        <v>11042.304000000002</v>
      </c>
      <c r="L24" s="350">
        <f>L25+L29</f>
        <v>11617.093000000001</v>
      </c>
      <c r="M24" s="350">
        <f>M25+M29</f>
        <v>12532.745000000001</v>
      </c>
      <c r="N24" s="349"/>
      <c r="O24" s="349"/>
      <c r="P24" s="349"/>
      <c r="Q24" s="349"/>
    </row>
    <row r="25" spans="1:17" ht="22.5" customHeight="1" x14ac:dyDescent="0.3">
      <c r="A25" s="97" t="s">
        <v>110</v>
      </c>
      <c r="B25" s="97" t="s">
        <v>111</v>
      </c>
      <c r="C25" s="98" t="s">
        <v>112</v>
      </c>
      <c r="D25" s="352">
        <f t="shared" ref="D25:H25" si="6">D26+D27+D28</f>
        <v>7994.9760000000006</v>
      </c>
      <c r="E25" s="352">
        <f t="shared" si="6"/>
        <v>7947.0910000000003</v>
      </c>
      <c r="F25" s="352">
        <f t="shared" si="6"/>
        <v>8185.0930000000008</v>
      </c>
      <c r="G25" s="352">
        <f t="shared" si="6"/>
        <v>8573.57</v>
      </c>
      <c r="H25" s="352">
        <f t="shared" si="6"/>
        <v>8987.6020000000008</v>
      </c>
      <c r="I25" s="352">
        <v>9864.496000000001</v>
      </c>
      <c r="J25" s="352">
        <v>10206.748</v>
      </c>
      <c r="K25" s="352">
        <v>10871.448000000002</v>
      </c>
      <c r="L25" s="352">
        <v>11436.458000000001</v>
      </c>
      <c r="M25" s="352">
        <v>12343.509</v>
      </c>
      <c r="N25" s="349"/>
      <c r="O25" s="349"/>
      <c r="P25" s="349"/>
      <c r="Q25" s="349"/>
    </row>
    <row r="26" spans="1:17" ht="16.5" customHeight="1" x14ac:dyDescent="0.3">
      <c r="A26" s="105" t="s">
        <v>113</v>
      </c>
      <c r="B26" s="105" t="s">
        <v>114</v>
      </c>
      <c r="C26" s="100" t="s">
        <v>115</v>
      </c>
      <c r="D26" s="352">
        <f>1817.308+2647.291</f>
        <v>4464.5990000000002</v>
      </c>
      <c r="E26" s="352">
        <f>1747.634+2558.815</f>
        <v>4306.4490000000005</v>
      </c>
      <c r="F26" s="352">
        <f>1783.901+2795.29</f>
        <v>4579.1909999999998</v>
      </c>
      <c r="G26" s="352">
        <f>1907.943+2742.951</f>
        <v>4650.8940000000002</v>
      </c>
      <c r="H26" s="352">
        <f>2067.599+2801.073</f>
        <v>4868.6720000000005</v>
      </c>
      <c r="I26" s="352">
        <v>5555.5320000000002</v>
      </c>
      <c r="J26" s="352">
        <v>5831.5660000000007</v>
      </c>
      <c r="K26" s="352">
        <v>6282.7440000000006</v>
      </c>
      <c r="L26" s="352">
        <v>6467.1790000000001</v>
      </c>
      <c r="M26" s="352">
        <v>6932.5029999999997</v>
      </c>
      <c r="N26" s="349"/>
      <c r="O26" s="349"/>
      <c r="P26" s="349"/>
      <c r="Q26" s="349"/>
    </row>
    <row r="27" spans="1:17" ht="16.5" customHeight="1" x14ac:dyDescent="0.3">
      <c r="A27" s="105" t="s">
        <v>116</v>
      </c>
      <c r="B27" s="105" t="s">
        <v>117</v>
      </c>
      <c r="C27" s="100" t="s">
        <v>118</v>
      </c>
      <c r="D27" s="352">
        <v>1982.5840000000001</v>
      </c>
      <c r="E27" s="352">
        <v>1911.952</v>
      </c>
      <c r="F27" s="352">
        <v>2108.2130000000002</v>
      </c>
      <c r="G27" s="352">
        <v>2050.326</v>
      </c>
      <c r="H27" s="352">
        <v>2159.192</v>
      </c>
      <c r="I27" s="352">
        <v>2254.846</v>
      </c>
      <c r="J27" s="352">
        <v>2292.3809999999999</v>
      </c>
      <c r="K27" s="352">
        <v>2477.6559999999999</v>
      </c>
      <c r="L27" s="352">
        <v>2632.7469999999998</v>
      </c>
      <c r="M27" s="352">
        <v>5392.5590000000002</v>
      </c>
      <c r="N27" s="349"/>
      <c r="O27" s="349"/>
      <c r="P27" s="349"/>
      <c r="Q27" s="349"/>
    </row>
    <row r="28" spans="1:17" ht="16.5" customHeight="1" x14ac:dyDescent="0.3">
      <c r="A28" s="105" t="s">
        <v>119</v>
      </c>
      <c r="B28" s="105" t="s">
        <v>120</v>
      </c>
      <c r="C28" s="100" t="s">
        <v>121</v>
      </c>
      <c r="D28" s="352">
        <f>0.066+1547.727+0</f>
        <v>1547.7930000000001</v>
      </c>
      <c r="E28" s="352">
        <f>0.026+1728.664+0</f>
        <v>1728.69</v>
      </c>
      <c r="F28" s="352">
        <f>0.029+1497.66+0</f>
        <v>1497.6890000000001</v>
      </c>
      <c r="G28" s="352">
        <f>0.014+1872.336+0</f>
        <v>1872.35</v>
      </c>
      <c r="H28" s="352">
        <f>0.108+1959.63+0</f>
        <v>1959.7380000000001</v>
      </c>
      <c r="I28" s="352">
        <v>2054.1179999999999</v>
      </c>
      <c r="J28" s="352">
        <v>2082.8009999999999</v>
      </c>
      <c r="K28" s="352">
        <v>2111.0480000000002</v>
      </c>
      <c r="L28" s="352">
        <v>2336.5320000000002</v>
      </c>
      <c r="M28" s="352" t="s">
        <v>356</v>
      </c>
      <c r="N28" s="349"/>
      <c r="O28" s="349"/>
      <c r="P28" s="349"/>
      <c r="Q28" s="349"/>
    </row>
    <row r="29" spans="1:17" ht="16.5" customHeight="1" x14ac:dyDescent="0.3">
      <c r="A29" s="97" t="s">
        <v>122</v>
      </c>
      <c r="B29" s="97" t="s">
        <v>123</v>
      </c>
      <c r="C29" s="98" t="s">
        <v>124</v>
      </c>
      <c r="D29" s="352">
        <v>86.19</v>
      </c>
      <c r="E29" s="352">
        <v>95.790999999999997</v>
      </c>
      <c r="F29" s="352">
        <v>138.78800000000001</v>
      </c>
      <c r="G29" s="352">
        <v>148.33500000000001</v>
      </c>
      <c r="H29" s="352">
        <v>120.098</v>
      </c>
      <c r="I29" s="352">
        <v>142.292</v>
      </c>
      <c r="J29" s="352">
        <v>153.363</v>
      </c>
      <c r="K29" s="352">
        <v>170.85599999999999</v>
      </c>
      <c r="L29" s="352">
        <v>180.63499999999999</v>
      </c>
      <c r="M29" s="352">
        <v>189.23600000000002</v>
      </c>
      <c r="N29" s="349"/>
      <c r="O29" s="349"/>
      <c r="P29" s="349"/>
      <c r="Q29" s="349"/>
    </row>
    <row r="30" spans="1:17" s="357" customFormat="1" ht="16.5" customHeight="1" x14ac:dyDescent="0.3">
      <c r="A30" s="108" t="s">
        <v>18</v>
      </c>
      <c r="B30" s="108" t="s">
        <v>125</v>
      </c>
      <c r="C30" s="96" t="s">
        <v>126</v>
      </c>
      <c r="D30" s="350">
        <f t="shared" ref="D30:L30" si="7">D31+D34</f>
        <v>2557.1579999999999</v>
      </c>
      <c r="E30" s="350">
        <f t="shared" si="7"/>
        <v>2910.665</v>
      </c>
      <c r="F30" s="350">
        <f t="shared" si="7"/>
        <v>2843.1269999999995</v>
      </c>
      <c r="G30" s="350">
        <f t="shared" si="7"/>
        <v>3189.625</v>
      </c>
      <c r="H30" s="350">
        <f t="shared" si="7"/>
        <v>3755.8669999999997</v>
      </c>
      <c r="I30" s="350">
        <f t="shared" si="7"/>
        <v>3902.5699999999997</v>
      </c>
      <c r="J30" s="350">
        <f t="shared" si="7"/>
        <v>3842.3780000000002</v>
      </c>
      <c r="K30" s="350">
        <f t="shared" si="7"/>
        <v>4115.6170000000002</v>
      </c>
      <c r="L30" s="350">
        <f t="shared" si="7"/>
        <v>4156.9880000000003</v>
      </c>
      <c r="M30" s="350">
        <f t="shared" ref="M30" si="8">M31+M34</f>
        <v>4288.5720000000001</v>
      </c>
      <c r="N30" s="349"/>
      <c r="O30" s="349"/>
      <c r="P30" s="349"/>
      <c r="Q30" s="349"/>
    </row>
    <row r="31" spans="1:17" ht="16.5" customHeight="1" x14ac:dyDescent="0.3">
      <c r="A31" s="106" t="s">
        <v>127</v>
      </c>
      <c r="B31" s="106" t="s">
        <v>128</v>
      </c>
      <c r="C31" s="98" t="s">
        <v>129</v>
      </c>
      <c r="D31" s="353">
        <f>D32+D33</f>
        <v>1705.797</v>
      </c>
      <c r="E31" s="353">
        <f t="shared" ref="E31:H31" si="9">E32+E33</f>
        <v>2050.0650000000001</v>
      </c>
      <c r="F31" s="353">
        <f t="shared" si="9"/>
        <v>2201.9249999999997</v>
      </c>
      <c r="G31" s="353">
        <f t="shared" si="9"/>
        <v>2526.605</v>
      </c>
      <c r="H31" s="353">
        <f t="shared" si="9"/>
        <v>2929.5279999999998</v>
      </c>
      <c r="I31" s="353">
        <v>3233.4449999999997</v>
      </c>
      <c r="J31" s="353">
        <v>3290.152</v>
      </c>
      <c r="K31" s="353">
        <v>3482.3019999999997</v>
      </c>
      <c r="L31" s="353">
        <v>3551.1559999999999</v>
      </c>
      <c r="M31" s="353">
        <v>3647.26</v>
      </c>
      <c r="N31" s="349"/>
      <c r="O31" s="349"/>
      <c r="P31" s="349"/>
      <c r="Q31" s="349"/>
    </row>
    <row r="32" spans="1:17" ht="16.5" customHeight="1" x14ac:dyDescent="0.3">
      <c r="A32" s="105" t="s">
        <v>130</v>
      </c>
      <c r="B32" s="105" t="s">
        <v>131</v>
      </c>
      <c r="C32" s="98" t="s">
        <v>132</v>
      </c>
      <c r="D32" s="352">
        <v>1586.164</v>
      </c>
      <c r="E32" s="353">
        <v>1932.933</v>
      </c>
      <c r="F32" s="353">
        <v>2082.9319999999998</v>
      </c>
      <c r="G32" s="353">
        <v>2401.89</v>
      </c>
      <c r="H32" s="352">
        <v>2768.491</v>
      </c>
      <c r="I32" s="352">
        <v>3069.4859999999999</v>
      </c>
      <c r="J32" s="352">
        <v>3126.9369999999999</v>
      </c>
      <c r="K32" s="353">
        <v>3336.1329999999998</v>
      </c>
      <c r="L32" s="353">
        <v>3406.9650000000001</v>
      </c>
      <c r="M32" s="353">
        <v>3479.8130000000001</v>
      </c>
      <c r="N32" s="349"/>
      <c r="O32" s="349"/>
      <c r="P32" s="349"/>
      <c r="Q32" s="349"/>
    </row>
    <row r="33" spans="1:17" ht="16.5" customHeight="1" x14ac:dyDescent="0.3">
      <c r="A33" s="105" t="s">
        <v>133</v>
      </c>
      <c r="B33" s="105" t="s">
        <v>134</v>
      </c>
      <c r="C33" s="98" t="s">
        <v>135</v>
      </c>
      <c r="D33" s="353">
        <v>119.633</v>
      </c>
      <c r="E33" s="356">
        <v>117.13200000000001</v>
      </c>
      <c r="F33" s="356">
        <v>118.99299999999999</v>
      </c>
      <c r="G33" s="356">
        <v>124.715</v>
      </c>
      <c r="H33" s="355">
        <v>161.03700000000001</v>
      </c>
      <c r="I33" s="352">
        <v>163.959</v>
      </c>
      <c r="J33" s="353">
        <v>163.215</v>
      </c>
      <c r="K33" s="353">
        <v>146.16900000000001</v>
      </c>
      <c r="L33" s="353">
        <v>144.191</v>
      </c>
      <c r="M33" s="353">
        <v>167.447</v>
      </c>
      <c r="N33" s="349"/>
      <c r="O33" s="349"/>
      <c r="P33" s="349"/>
      <c r="Q33" s="349"/>
    </row>
    <row r="34" spans="1:17" ht="16.5" customHeight="1" x14ac:dyDescent="0.3">
      <c r="A34" s="97" t="s">
        <v>136</v>
      </c>
      <c r="B34" s="97" t="s">
        <v>137</v>
      </c>
      <c r="C34" s="98" t="s">
        <v>138</v>
      </c>
      <c r="D34" s="353">
        <v>851.36099999999999</v>
      </c>
      <c r="E34" s="356">
        <v>860.6</v>
      </c>
      <c r="F34" s="356">
        <v>641.202</v>
      </c>
      <c r="G34" s="356">
        <v>663.02</v>
      </c>
      <c r="H34" s="355">
        <v>826.33900000000006</v>
      </c>
      <c r="I34" s="352">
        <v>669.125</v>
      </c>
      <c r="J34" s="353">
        <v>552.226</v>
      </c>
      <c r="K34" s="353">
        <v>633.31500000000005</v>
      </c>
      <c r="L34" s="353">
        <v>605.83199999999999</v>
      </c>
      <c r="M34" s="353">
        <v>641.31200000000001</v>
      </c>
      <c r="N34" s="349"/>
      <c r="O34" s="349"/>
      <c r="P34" s="349"/>
      <c r="Q34" s="349"/>
    </row>
    <row r="35" spans="1:17" ht="16.5" customHeight="1" x14ac:dyDescent="0.3">
      <c r="A35" s="105" t="s">
        <v>139</v>
      </c>
      <c r="B35" s="105" t="s">
        <v>140</v>
      </c>
      <c r="C35" s="109" t="s">
        <v>141</v>
      </c>
      <c r="D35" s="352">
        <v>506.34</v>
      </c>
      <c r="E35" s="356">
        <v>590.29999999999995</v>
      </c>
      <c r="F35" s="356">
        <v>445.36599999999999</v>
      </c>
      <c r="G35" s="356">
        <v>476.6</v>
      </c>
      <c r="H35" s="356">
        <v>634.42200000000003</v>
      </c>
      <c r="I35" s="353">
        <v>460.00900000000001</v>
      </c>
      <c r="J35" s="353">
        <v>304.096</v>
      </c>
      <c r="K35" s="353">
        <v>349.75900000000001</v>
      </c>
      <c r="L35" s="353">
        <v>323.11700000000002</v>
      </c>
      <c r="M35" s="353">
        <v>391.39800000000002</v>
      </c>
      <c r="N35" s="349"/>
      <c r="O35" s="349"/>
      <c r="P35" s="349"/>
      <c r="Q35" s="349"/>
    </row>
    <row r="36" spans="1:17" ht="16.5" customHeight="1" x14ac:dyDescent="0.3">
      <c r="A36" s="105" t="s">
        <v>142</v>
      </c>
      <c r="B36" s="105" t="s">
        <v>143</v>
      </c>
      <c r="C36" s="109" t="s">
        <v>144</v>
      </c>
      <c r="D36" s="353">
        <v>293.72500000000002</v>
      </c>
      <c r="E36" s="356">
        <v>225.732</v>
      </c>
      <c r="F36" s="356">
        <v>120.059</v>
      </c>
      <c r="G36" s="356">
        <v>137.69900000000001</v>
      </c>
      <c r="H36" s="356">
        <v>143.86600000000001</v>
      </c>
      <c r="I36" s="353">
        <v>155.85499999999999</v>
      </c>
      <c r="J36" s="353">
        <v>191.41</v>
      </c>
      <c r="K36" s="353">
        <v>227.065</v>
      </c>
      <c r="L36" s="353">
        <v>226.292</v>
      </c>
      <c r="M36" s="353">
        <v>190.25399999999999</v>
      </c>
      <c r="N36" s="349"/>
      <c r="O36" s="349"/>
      <c r="P36" s="349"/>
      <c r="Q36" s="349"/>
    </row>
    <row r="37" spans="1:17" s="357" customFormat="1" ht="16.5" customHeight="1" x14ac:dyDescent="0.3">
      <c r="A37" s="107" t="s">
        <v>145</v>
      </c>
      <c r="B37" s="107" t="s">
        <v>146</v>
      </c>
      <c r="C37" s="96" t="s">
        <v>147</v>
      </c>
      <c r="D37" s="350">
        <f t="shared" ref="D37:L37" si="10">D39+D40+D41</f>
        <v>1318.019</v>
      </c>
      <c r="E37" s="350">
        <f t="shared" si="10"/>
        <v>1905.3870000000002</v>
      </c>
      <c r="F37" s="350">
        <f t="shared" si="10"/>
        <v>1664.1469999999999</v>
      </c>
      <c r="G37" s="350">
        <f t="shared" si="10"/>
        <v>2464.5929999999998</v>
      </c>
      <c r="H37" s="350">
        <f t="shared" si="10"/>
        <v>2125.9639999999999</v>
      </c>
      <c r="I37" s="350">
        <f t="shared" si="10"/>
        <v>2462.9769999999999</v>
      </c>
      <c r="J37" s="350">
        <f t="shared" si="10"/>
        <v>2472.913</v>
      </c>
      <c r="K37" s="350">
        <f t="shared" si="10"/>
        <v>4196.8640000000005</v>
      </c>
      <c r="L37" s="350">
        <f t="shared" si="10"/>
        <v>1516.7139999999999</v>
      </c>
      <c r="M37" s="350">
        <f t="shared" ref="M37" si="11">M39+M40+M41</f>
        <v>1141.297</v>
      </c>
      <c r="N37" s="349"/>
      <c r="O37" s="349"/>
      <c r="P37" s="349"/>
      <c r="Q37" s="349"/>
    </row>
    <row r="38" spans="1:17" ht="16.5" customHeight="1" x14ac:dyDescent="0.3">
      <c r="A38" s="110" t="s">
        <v>148</v>
      </c>
      <c r="B38" s="110" t="s">
        <v>149</v>
      </c>
      <c r="C38" s="111"/>
      <c r="D38" s="353">
        <f>863.316-664.004+(82.62)</f>
        <v>281.93200000000002</v>
      </c>
      <c r="E38" s="353">
        <f>1111.48-809.95+(-7.137)</f>
        <v>294.39299999999997</v>
      </c>
      <c r="F38" s="353">
        <f>1663.755-1239.247+(225.936)</f>
        <v>650.44400000000007</v>
      </c>
      <c r="G38" s="353">
        <f>2031.344-1297.937+(60.035)</f>
        <v>793.44200000000012</v>
      </c>
      <c r="H38" s="352">
        <f>2127.345-1208.845+(-113.094)</f>
        <v>805.40599999999972</v>
      </c>
      <c r="I38" s="352">
        <v>808.67399999999975</v>
      </c>
      <c r="J38" s="352">
        <v>1194.6710000000003</v>
      </c>
      <c r="K38" s="353">
        <v>2986.181</v>
      </c>
      <c r="L38" s="353">
        <v>1423.8959999999997</v>
      </c>
      <c r="M38" s="353">
        <v>661.40300000000002</v>
      </c>
      <c r="N38" s="349"/>
      <c r="O38" s="349"/>
      <c r="P38" s="349"/>
      <c r="Q38" s="349"/>
    </row>
    <row r="39" spans="1:17" ht="16.5" customHeight="1" x14ac:dyDescent="0.3">
      <c r="A39" s="106" t="s">
        <v>150</v>
      </c>
      <c r="B39" s="106" t="s">
        <v>151</v>
      </c>
      <c r="C39" s="98" t="s">
        <v>152</v>
      </c>
      <c r="D39" s="353">
        <v>0</v>
      </c>
      <c r="E39" s="353">
        <v>0</v>
      </c>
      <c r="F39" s="353">
        <v>0</v>
      </c>
      <c r="G39" s="353">
        <v>0</v>
      </c>
      <c r="H39" s="352">
        <v>0</v>
      </c>
      <c r="I39" s="352">
        <v>0</v>
      </c>
      <c r="J39" s="352">
        <v>0</v>
      </c>
      <c r="K39" s="353">
        <v>0</v>
      </c>
      <c r="L39" s="353">
        <v>0</v>
      </c>
      <c r="M39" s="353">
        <v>0</v>
      </c>
      <c r="N39" s="349"/>
      <c r="O39" s="349"/>
      <c r="P39" s="349"/>
      <c r="Q39" s="349"/>
    </row>
    <row r="40" spans="1:17" ht="16.5" customHeight="1" x14ac:dyDescent="0.3">
      <c r="A40" s="97" t="s">
        <v>153</v>
      </c>
      <c r="B40" s="97" t="s">
        <v>154</v>
      </c>
      <c r="C40" s="98" t="s">
        <v>155</v>
      </c>
      <c r="D40" s="352">
        <v>1155.759</v>
      </c>
      <c r="E40" s="352">
        <v>1274.8440000000001</v>
      </c>
      <c r="F40" s="353">
        <v>1027.778</v>
      </c>
      <c r="G40" s="353">
        <v>1583.7190000000001</v>
      </c>
      <c r="H40" s="352">
        <v>1347.222</v>
      </c>
      <c r="I40" s="352">
        <v>1477.7139999999999</v>
      </c>
      <c r="J40" s="352">
        <v>1510.9059999999999</v>
      </c>
      <c r="K40" s="353">
        <v>2281.0830000000001</v>
      </c>
      <c r="L40" s="353">
        <v>988.23500000000001</v>
      </c>
      <c r="M40" s="353">
        <v>841.89800000000002</v>
      </c>
      <c r="N40" s="349"/>
      <c r="O40" s="349"/>
      <c r="P40" s="349"/>
      <c r="Q40" s="349"/>
    </row>
    <row r="41" spans="1:17" ht="16.5" customHeight="1" x14ac:dyDescent="0.3">
      <c r="A41" s="112" t="s">
        <v>156</v>
      </c>
      <c r="B41" s="112" t="s">
        <v>157</v>
      </c>
      <c r="C41" s="113" t="s">
        <v>158</v>
      </c>
      <c r="D41" s="353">
        <f>162.36-D23</f>
        <v>162.26000000000002</v>
      </c>
      <c r="E41" s="353">
        <f>630.588-E23</f>
        <v>630.54300000000001</v>
      </c>
      <c r="F41" s="353">
        <v>636.36900000000003</v>
      </c>
      <c r="G41" s="353">
        <f>880.887-G23</f>
        <v>880.87399999999991</v>
      </c>
      <c r="H41" s="352">
        <f>778.754-H23</f>
        <v>778.74200000000008</v>
      </c>
      <c r="I41" s="352">
        <v>985.26300000000003</v>
      </c>
      <c r="J41" s="352">
        <v>962.00699999999995</v>
      </c>
      <c r="K41" s="353">
        <v>1915.7810000000002</v>
      </c>
      <c r="L41" s="353">
        <v>528.47899999999993</v>
      </c>
      <c r="M41" s="353">
        <v>299.399</v>
      </c>
      <c r="N41" s="349"/>
      <c r="O41" s="349"/>
      <c r="P41" s="349"/>
      <c r="Q41" s="349"/>
    </row>
    <row r="42" spans="1:17" ht="16.5" customHeight="1" x14ac:dyDescent="0.3">
      <c r="A42" s="92" t="s">
        <v>159</v>
      </c>
      <c r="B42" s="92" t="s">
        <v>160</v>
      </c>
      <c r="C42" s="114" t="s">
        <v>161</v>
      </c>
      <c r="D42" s="358">
        <f>D44+D81</f>
        <v>25299.29</v>
      </c>
      <c r="E42" s="358">
        <f t="shared" ref="E42:L42" si="12">E44+E81</f>
        <v>28224.154999999999</v>
      </c>
      <c r="F42" s="358">
        <f t="shared" si="12"/>
        <v>28480.449000000001</v>
      </c>
      <c r="G42" s="358">
        <f t="shared" si="12"/>
        <v>28827.822</v>
      </c>
      <c r="H42" s="358">
        <f t="shared" si="12"/>
        <v>29539.480999999996</v>
      </c>
      <c r="I42" s="358">
        <f t="shared" si="12"/>
        <v>30736.550999999996</v>
      </c>
      <c r="J42" s="358">
        <f t="shared" si="12"/>
        <v>31983.491000000002</v>
      </c>
      <c r="K42" s="358">
        <f t="shared" si="12"/>
        <v>35683.803</v>
      </c>
      <c r="L42" s="358">
        <f t="shared" si="12"/>
        <v>33668.572</v>
      </c>
      <c r="M42" s="358">
        <f t="shared" ref="M42" si="13">M44+M81</f>
        <v>34103.112000000001</v>
      </c>
      <c r="N42" s="349"/>
      <c r="O42" s="349"/>
      <c r="P42" s="349"/>
      <c r="Q42" s="349"/>
    </row>
    <row r="43" spans="1:17" ht="16.5" customHeight="1" x14ac:dyDescent="0.3">
      <c r="A43" s="94" t="s">
        <v>33</v>
      </c>
      <c r="B43" s="94" t="s">
        <v>66</v>
      </c>
      <c r="C43" s="115"/>
      <c r="D43" s="366">
        <f>D42/D90</f>
        <v>0.36937799671784566</v>
      </c>
      <c r="E43" s="366">
        <f t="shared" ref="E43:L43" si="14">E42/E90</f>
        <v>0.4408433049946035</v>
      </c>
      <c r="F43" s="366">
        <f t="shared" si="14"/>
        <v>0.42144993955070709</v>
      </c>
      <c r="G43" s="366">
        <f t="shared" si="14"/>
        <v>0.40816883580263696</v>
      </c>
      <c r="H43" s="366">
        <f t="shared" si="14"/>
        <v>0.40630067328257918</v>
      </c>
      <c r="I43" s="366">
        <f t="shared" si="14"/>
        <v>0.41440749130040971</v>
      </c>
      <c r="J43" s="366">
        <f t="shared" si="14"/>
        <v>0.42034985403505415</v>
      </c>
      <c r="K43" s="366">
        <f t="shared" si="14"/>
        <v>0.45090467134713458</v>
      </c>
      <c r="L43" s="366">
        <f t="shared" si="14"/>
        <v>0.41450449044852872</v>
      </c>
      <c r="M43" s="366">
        <f t="shared" ref="M43" si="15">M42/M90</f>
        <v>0.40191821712997328</v>
      </c>
      <c r="N43" s="349"/>
      <c r="O43" s="349"/>
      <c r="P43" s="349"/>
      <c r="Q43" s="349"/>
    </row>
    <row r="44" spans="1:17" s="351" customFormat="1" ht="16.5" customHeight="1" x14ac:dyDescent="0.3">
      <c r="A44" s="116" t="s">
        <v>54</v>
      </c>
      <c r="B44" s="116" t="s">
        <v>162</v>
      </c>
      <c r="C44" s="96" t="s">
        <v>163</v>
      </c>
      <c r="D44" s="350">
        <f>D45+D48+D49+D52+D58+D61+D78</f>
        <v>22436.556</v>
      </c>
      <c r="E44" s="350">
        <f t="shared" ref="E44:L44" si="16">E45+E48+E49+E52+E58+E61+E78</f>
        <v>24547.108</v>
      </c>
      <c r="F44" s="350">
        <f t="shared" si="16"/>
        <v>25435.564000000002</v>
      </c>
      <c r="G44" s="350">
        <f t="shared" si="16"/>
        <v>25656.080999999998</v>
      </c>
      <c r="H44" s="350">
        <f t="shared" si="16"/>
        <v>26646.898999999998</v>
      </c>
      <c r="I44" s="350">
        <f t="shared" si="16"/>
        <v>27803.979999999996</v>
      </c>
      <c r="J44" s="350">
        <f t="shared" si="16"/>
        <v>28756.422000000002</v>
      </c>
      <c r="K44" s="350">
        <f t="shared" si="16"/>
        <v>30068.812999999998</v>
      </c>
      <c r="L44" s="350">
        <f t="shared" si="16"/>
        <v>30518.653000000002</v>
      </c>
      <c r="M44" s="350">
        <f>M45+M48+M49+M52+M58+M61+M78</f>
        <v>31170.157000000003</v>
      </c>
      <c r="N44" s="349"/>
      <c r="O44" s="349"/>
      <c r="P44" s="349"/>
      <c r="Q44" s="349"/>
    </row>
    <row r="45" spans="1:17" s="357" customFormat="1" ht="16.5" customHeight="1" x14ac:dyDescent="0.3">
      <c r="A45" s="117" t="s">
        <v>164</v>
      </c>
      <c r="B45" s="117" t="s">
        <v>165</v>
      </c>
      <c r="C45" s="118" t="s">
        <v>166</v>
      </c>
      <c r="D45" s="353">
        <v>5123.9579999999996</v>
      </c>
      <c r="E45" s="353">
        <v>5479.2550000000001</v>
      </c>
      <c r="F45" s="353">
        <v>5716.1260000000002</v>
      </c>
      <c r="G45" s="353">
        <v>5845.6589999999997</v>
      </c>
      <c r="H45" s="352">
        <v>5991.2939999999999</v>
      </c>
      <c r="I45" s="352">
        <v>6356.049</v>
      </c>
      <c r="J45" s="352">
        <v>6693.7380000000003</v>
      </c>
      <c r="K45" s="353">
        <v>7049.8580000000002</v>
      </c>
      <c r="L45" s="353">
        <v>7400.5060000000003</v>
      </c>
      <c r="M45" s="353">
        <v>7803.5720000000001</v>
      </c>
      <c r="N45" s="349"/>
      <c r="O45" s="349"/>
      <c r="P45" s="349"/>
      <c r="Q45" s="349"/>
    </row>
    <row r="46" spans="1:17" s="357" customFormat="1" ht="16.5" customHeight="1" x14ac:dyDescent="0.3">
      <c r="A46" s="105" t="s">
        <v>167</v>
      </c>
      <c r="B46" s="105" t="s">
        <v>168</v>
      </c>
      <c r="C46" s="100" t="s">
        <v>169</v>
      </c>
      <c r="D46" s="352">
        <v>3882.7379999999998</v>
      </c>
      <c r="E46" s="352">
        <v>4068.3440000000001</v>
      </c>
      <c r="F46" s="352">
        <v>4241.7030000000004</v>
      </c>
      <c r="G46" s="352">
        <v>4259.3040000000001</v>
      </c>
      <c r="H46" s="352">
        <v>4439.4539999999997</v>
      </c>
      <c r="I46" s="352">
        <v>4666.4269999999997</v>
      </c>
      <c r="J46" s="352">
        <v>4894.2</v>
      </c>
      <c r="K46" s="352">
        <v>5141.5820000000003</v>
      </c>
      <c r="L46" s="352">
        <v>5412.2139999999999</v>
      </c>
      <c r="M46" s="352">
        <v>5706.857</v>
      </c>
      <c r="N46" s="349"/>
      <c r="O46" s="349"/>
      <c r="P46" s="349"/>
      <c r="Q46" s="349"/>
    </row>
    <row r="47" spans="1:17" s="357" customFormat="1" ht="16.5" customHeight="1" x14ac:dyDescent="0.3">
      <c r="A47" s="105" t="s">
        <v>170</v>
      </c>
      <c r="B47" s="105" t="s">
        <v>171</v>
      </c>
      <c r="C47" s="100" t="s">
        <v>172</v>
      </c>
      <c r="D47" s="352">
        <v>1241.22</v>
      </c>
      <c r="E47" s="352">
        <v>1410.9110000000001</v>
      </c>
      <c r="F47" s="352">
        <v>1474.423</v>
      </c>
      <c r="G47" s="352">
        <v>1586.355</v>
      </c>
      <c r="H47" s="352">
        <v>1551.84</v>
      </c>
      <c r="I47" s="352">
        <v>1689.6220000000001</v>
      </c>
      <c r="J47" s="352">
        <v>1799.538</v>
      </c>
      <c r="K47" s="352">
        <v>1907.915</v>
      </c>
      <c r="L47" s="352">
        <v>1987.9290000000001</v>
      </c>
      <c r="M47" s="352">
        <v>2096.7150000000001</v>
      </c>
      <c r="N47" s="349"/>
      <c r="O47" s="349"/>
      <c r="P47" s="349"/>
      <c r="Q47" s="349"/>
    </row>
    <row r="48" spans="1:17" s="357" customFormat="1" ht="16.5" customHeight="1" x14ac:dyDescent="0.3">
      <c r="A48" s="117" t="s">
        <v>173</v>
      </c>
      <c r="B48" s="117" t="s">
        <v>174</v>
      </c>
      <c r="C48" s="118" t="s">
        <v>175</v>
      </c>
      <c r="D48" s="353">
        <v>3313.989</v>
      </c>
      <c r="E48" s="353">
        <v>3898.5259999999998</v>
      </c>
      <c r="F48" s="353">
        <v>3871.6979999999999</v>
      </c>
      <c r="G48" s="353">
        <v>3985.3670000000002</v>
      </c>
      <c r="H48" s="352">
        <v>4006.7040000000002</v>
      </c>
      <c r="I48" s="352">
        <v>4101.7309999999998</v>
      </c>
      <c r="J48" s="352">
        <v>4266.165</v>
      </c>
      <c r="K48" s="353">
        <v>4654.9409999999998</v>
      </c>
      <c r="L48" s="353">
        <v>4459.1450000000004</v>
      </c>
      <c r="M48" s="353">
        <v>4802.009</v>
      </c>
      <c r="N48" s="349"/>
      <c r="O48" s="349"/>
      <c r="P48" s="349"/>
      <c r="Q48" s="349"/>
    </row>
    <row r="49" spans="1:17" s="357" customFormat="1" ht="16.5" customHeight="1" x14ac:dyDescent="0.3">
      <c r="A49" s="110" t="s">
        <v>176</v>
      </c>
      <c r="B49" s="110" t="s">
        <v>177</v>
      </c>
      <c r="C49" s="118" t="s">
        <v>178</v>
      </c>
      <c r="D49" s="353">
        <f>D50+D51</f>
        <v>54.347999999999999</v>
      </c>
      <c r="E49" s="353">
        <f t="shared" ref="E49:H49" si="17">E50+E51</f>
        <v>43.553999999999995</v>
      </c>
      <c r="F49" s="353">
        <f t="shared" si="17"/>
        <v>59.741</v>
      </c>
      <c r="G49" s="353">
        <f t="shared" si="17"/>
        <v>68.228999999999999</v>
      </c>
      <c r="H49" s="352">
        <f t="shared" si="17"/>
        <v>78.296000000000006</v>
      </c>
      <c r="I49" s="352">
        <v>81.658000000000001</v>
      </c>
      <c r="J49" s="352">
        <v>68.736000000000004</v>
      </c>
      <c r="K49" s="353">
        <v>71.349000000000004</v>
      </c>
      <c r="L49" s="353">
        <v>68.716000000000008</v>
      </c>
      <c r="M49" s="353">
        <v>90.670999999999992</v>
      </c>
      <c r="N49" s="349"/>
      <c r="O49" s="349"/>
      <c r="P49" s="349"/>
      <c r="Q49" s="349"/>
    </row>
    <row r="50" spans="1:17" ht="16.5" customHeight="1" x14ac:dyDescent="0.3">
      <c r="A50" s="119" t="s">
        <v>179</v>
      </c>
      <c r="B50" s="119" t="s">
        <v>180</v>
      </c>
      <c r="C50" s="98" t="s">
        <v>181</v>
      </c>
      <c r="D50" s="353">
        <v>35.125</v>
      </c>
      <c r="E50" s="353">
        <v>35.180999999999997</v>
      </c>
      <c r="F50" s="353">
        <v>39.637</v>
      </c>
      <c r="G50" s="353">
        <v>49.838999999999999</v>
      </c>
      <c r="H50" s="352">
        <v>58.804000000000002</v>
      </c>
      <c r="I50" s="352">
        <v>56.468000000000004</v>
      </c>
      <c r="J50" s="352">
        <v>38.512</v>
      </c>
      <c r="K50" s="353">
        <v>60.713000000000001</v>
      </c>
      <c r="L50" s="353">
        <v>55.362000000000002</v>
      </c>
      <c r="M50" s="353">
        <v>49.786000000000001</v>
      </c>
      <c r="N50" s="349"/>
      <c r="O50" s="349"/>
      <c r="P50" s="349"/>
      <c r="Q50" s="349"/>
    </row>
    <row r="51" spans="1:17" ht="16.5" customHeight="1" x14ac:dyDescent="0.3">
      <c r="A51" s="119" t="s">
        <v>182</v>
      </c>
      <c r="B51" s="119" t="s">
        <v>183</v>
      </c>
      <c r="C51" s="98" t="s">
        <v>86</v>
      </c>
      <c r="D51" s="353">
        <v>19.222999999999999</v>
      </c>
      <c r="E51" s="356">
        <v>8.3729999999999993</v>
      </c>
      <c r="F51" s="356">
        <v>20.103999999999999</v>
      </c>
      <c r="G51" s="356">
        <v>18.39</v>
      </c>
      <c r="H51" s="355">
        <v>19.492000000000001</v>
      </c>
      <c r="I51" s="352">
        <v>25.19</v>
      </c>
      <c r="J51" s="352">
        <v>30.224</v>
      </c>
      <c r="K51" s="353">
        <v>10.635999999999999</v>
      </c>
      <c r="L51" s="353">
        <v>13.353999999999999</v>
      </c>
      <c r="M51" s="353">
        <v>0</v>
      </c>
      <c r="N51" s="349"/>
      <c r="O51" s="349"/>
      <c r="P51" s="349"/>
      <c r="Q51" s="349"/>
    </row>
    <row r="52" spans="1:17" s="357" customFormat="1" ht="16.5" customHeight="1" x14ac:dyDescent="0.3">
      <c r="A52" s="110" t="s">
        <v>184</v>
      </c>
      <c r="B52" s="110" t="s">
        <v>185</v>
      </c>
      <c r="C52" s="118" t="s">
        <v>186</v>
      </c>
      <c r="D52" s="353">
        <v>919.86900000000003</v>
      </c>
      <c r="E52" s="356">
        <v>734.25800000000004</v>
      </c>
      <c r="F52" s="356">
        <v>623.35900000000004</v>
      </c>
      <c r="G52" s="356">
        <v>498.55099999999999</v>
      </c>
      <c r="H52" s="355">
        <v>490.51600000000002</v>
      </c>
      <c r="I52" s="352">
        <v>574.00099999999998</v>
      </c>
      <c r="J52" s="352">
        <v>519.81799999999998</v>
      </c>
      <c r="K52" s="353">
        <v>463.73599999999999</v>
      </c>
      <c r="L52" s="353">
        <v>376.40100000000001</v>
      </c>
      <c r="M52" s="353">
        <v>362.66</v>
      </c>
      <c r="N52" s="349"/>
      <c r="O52" s="349"/>
      <c r="P52" s="349"/>
      <c r="Q52" s="349"/>
    </row>
    <row r="53" spans="1:17" s="357" customFormat="1" ht="16.5" customHeight="1" x14ac:dyDescent="0.3">
      <c r="A53" s="105" t="s">
        <v>187</v>
      </c>
      <c r="B53" s="105" t="s">
        <v>188</v>
      </c>
      <c r="C53" s="109"/>
      <c r="D53" s="353">
        <f>0+325.997</f>
        <v>325.99700000000001</v>
      </c>
      <c r="E53" s="356">
        <f>0.009+210.503</f>
        <v>210.51199999999997</v>
      </c>
      <c r="F53" s="356">
        <f>0.061+196.916</f>
        <v>196.977</v>
      </c>
      <c r="G53" s="356">
        <f>0.068+151.421</f>
        <v>151.489</v>
      </c>
      <c r="H53" s="355">
        <f>0+120.155</f>
        <v>120.155</v>
      </c>
      <c r="I53" s="352">
        <v>138.03700000000001</v>
      </c>
      <c r="J53" s="352">
        <v>91.73</v>
      </c>
      <c r="K53" s="353">
        <v>68.584999999999994</v>
      </c>
      <c r="L53" s="353">
        <v>57.859000000000002</v>
      </c>
      <c r="M53" s="353">
        <v>79.843999999999994</v>
      </c>
      <c r="N53" s="349"/>
      <c r="O53" s="349"/>
      <c r="P53" s="349"/>
      <c r="Q53" s="349"/>
    </row>
    <row r="54" spans="1:17" s="357" customFormat="1" ht="16.5" customHeight="1" x14ac:dyDescent="0.3">
      <c r="A54" s="105" t="s">
        <v>189</v>
      </c>
      <c r="B54" s="105" t="s">
        <v>190</v>
      </c>
      <c r="C54" s="109"/>
      <c r="D54" s="353">
        <f>93.014+488.784-29.897-165.97</f>
        <v>385.93099999999993</v>
      </c>
      <c r="E54" s="356">
        <f>96.421+436.378-29.068-270.339</f>
        <v>233.392</v>
      </c>
      <c r="F54" s="356">
        <f>94.731+485.316-42.054-228.114</f>
        <v>309.87900000000002</v>
      </c>
      <c r="G54" s="356">
        <f>93.573+547.911-28.816-199.498-105.301-67.516</f>
        <v>240.35299999999989</v>
      </c>
      <c r="H54" s="355">
        <f>94.782+891.384-28.334-345.988-174.99-199.342</f>
        <v>237.51200000000003</v>
      </c>
      <c r="I54" s="352">
        <v>227.62699999999998</v>
      </c>
      <c r="J54" s="352">
        <v>238.87999999999997</v>
      </c>
      <c r="K54" s="353">
        <v>261.46000000000004</v>
      </c>
      <c r="L54" s="353">
        <v>242.32099999999997</v>
      </c>
      <c r="M54" s="353">
        <v>170.464</v>
      </c>
      <c r="N54" s="349"/>
      <c r="O54" s="349"/>
      <c r="P54" s="349"/>
      <c r="Q54" s="349"/>
    </row>
    <row r="55" spans="1:17" s="357" customFormat="1" ht="16.5" customHeight="1" x14ac:dyDescent="0.3">
      <c r="A55" s="103" t="s">
        <v>191</v>
      </c>
      <c r="B55" s="103" t="s">
        <v>192</v>
      </c>
      <c r="C55" s="109"/>
      <c r="D55" s="353">
        <f>0+381.232-165.97</f>
        <v>215.26200000000003</v>
      </c>
      <c r="E55" s="356">
        <f>0+315.342-270.339</f>
        <v>45.002999999999986</v>
      </c>
      <c r="F55" s="356">
        <f>0+337.519-228.114</f>
        <v>109.405</v>
      </c>
      <c r="G55" s="356">
        <f>0+404.903-199.498-105.301-67.516</f>
        <v>32.588000000000022</v>
      </c>
      <c r="H55" s="355">
        <f>0+736.51-345.988-174.99-199.342</f>
        <v>16.189999999999969</v>
      </c>
      <c r="I55" s="352">
        <v>7.4410000000000593</v>
      </c>
      <c r="J55" s="352">
        <v>67.549000000000007</v>
      </c>
      <c r="K55" s="352">
        <v>8.5370000000000061</v>
      </c>
      <c r="L55" s="352">
        <v>9.6329999999999991</v>
      </c>
      <c r="M55" s="352">
        <v>8.8710000000000004</v>
      </c>
      <c r="N55" s="349"/>
      <c r="O55" s="349"/>
      <c r="P55" s="349"/>
      <c r="Q55" s="349"/>
    </row>
    <row r="56" spans="1:17" s="357" customFormat="1" ht="16.5" customHeight="1" x14ac:dyDescent="0.3">
      <c r="A56" s="103" t="s">
        <v>193</v>
      </c>
      <c r="B56" s="103" t="s">
        <v>194</v>
      </c>
      <c r="C56" s="109"/>
      <c r="D56" s="353">
        <f>93.014+102.14-29.897</f>
        <v>165.25700000000001</v>
      </c>
      <c r="E56" s="356">
        <f>96.421+115.062-29.068</f>
        <v>182.41499999999999</v>
      </c>
      <c r="F56" s="356">
        <f>94.731+141.166-42.054</f>
        <v>193.84299999999999</v>
      </c>
      <c r="G56" s="356">
        <f>93.573+135.374-28.816</f>
        <v>200.131</v>
      </c>
      <c r="H56" s="355">
        <f>94.782+147.742-28.334</f>
        <v>214.19</v>
      </c>
      <c r="I56" s="352">
        <v>214.18800000000002</v>
      </c>
      <c r="J56" s="352">
        <v>163.78100000000001</v>
      </c>
      <c r="K56" s="353">
        <v>246.755</v>
      </c>
      <c r="L56" s="353">
        <v>228.69</v>
      </c>
      <c r="M56" s="353">
        <v>153</v>
      </c>
      <c r="N56" s="349"/>
      <c r="O56" s="349"/>
      <c r="P56" s="349"/>
      <c r="Q56" s="349"/>
    </row>
    <row r="57" spans="1:17" s="357" customFormat="1" ht="16.5" customHeight="1" x14ac:dyDescent="0.3">
      <c r="A57" s="105" t="s">
        <v>195</v>
      </c>
      <c r="B57" s="105" t="s">
        <v>196</v>
      </c>
      <c r="C57" s="109"/>
      <c r="D57" s="353">
        <f t="shared" ref="D57:H57" si="18">D52-D53-D54</f>
        <v>207.94100000000014</v>
      </c>
      <c r="E57" s="353">
        <f t="shared" si="18"/>
        <v>290.3540000000001</v>
      </c>
      <c r="F57" s="353">
        <f t="shared" si="18"/>
        <v>116.50300000000004</v>
      </c>
      <c r="G57" s="353">
        <f t="shared" si="18"/>
        <v>106.70900000000012</v>
      </c>
      <c r="H57" s="352">
        <f t="shared" si="18"/>
        <v>132.84899999999996</v>
      </c>
      <c r="I57" s="352">
        <v>208.33699999999996</v>
      </c>
      <c r="J57" s="352">
        <v>189.208</v>
      </c>
      <c r="K57" s="353">
        <v>133.69099999999997</v>
      </c>
      <c r="L57" s="353">
        <v>76.22100000000006</v>
      </c>
      <c r="M57" s="353">
        <v>112.35200000000003</v>
      </c>
      <c r="N57" s="349"/>
      <c r="O57" s="349"/>
      <c r="P57" s="349"/>
      <c r="Q57" s="349"/>
    </row>
    <row r="58" spans="1:17" s="357" customFormat="1" ht="18" customHeight="1" x14ac:dyDescent="0.3">
      <c r="A58" s="117" t="s">
        <v>197</v>
      </c>
      <c r="B58" s="117" t="s">
        <v>198</v>
      </c>
      <c r="C58" s="118" t="s">
        <v>138</v>
      </c>
      <c r="D58" s="353">
        <v>891.53700000000003</v>
      </c>
      <c r="E58" s="353">
        <v>916.245</v>
      </c>
      <c r="F58" s="356">
        <v>877.28399999999999</v>
      </c>
      <c r="G58" s="353">
        <v>1079.231</v>
      </c>
      <c r="H58" s="352">
        <v>1283.2670000000001</v>
      </c>
      <c r="I58" s="352">
        <v>1387.038</v>
      </c>
      <c r="J58" s="352">
        <v>1443.6010000000001</v>
      </c>
      <c r="K58" s="353">
        <v>1379.4069999999999</v>
      </c>
      <c r="L58" s="353">
        <v>1335.808</v>
      </c>
      <c r="M58" s="353">
        <v>1179.442</v>
      </c>
      <c r="N58" s="349"/>
      <c r="O58" s="349"/>
      <c r="P58" s="349"/>
      <c r="Q58" s="349"/>
    </row>
    <row r="59" spans="1:17" s="357" customFormat="1" ht="16.5" customHeight="1" x14ac:dyDescent="0.3">
      <c r="A59" s="119" t="s">
        <v>199</v>
      </c>
      <c r="B59" s="119" t="s">
        <v>143</v>
      </c>
      <c r="C59" s="98" t="s">
        <v>144</v>
      </c>
      <c r="D59" s="353">
        <v>891.53700000000003</v>
      </c>
      <c r="E59" s="353">
        <v>916.245</v>
      </c>
      <c r="F59" s="356">
        <v>877.28399999999999</v>
      </c>
      <c r="G59" s="353">
        <v>1079.231</v>
      </c>
      <c r="H59" s="352">
        <v>1283.2670000000001</v>
      </c>
      <c r="I59" s="352">
        <v>1387.038</v>
      </c>
      <c r="J59" s="352">
        <v>1443.6010000000001</v>
      </c>
      <c r="K59" s="353">
        <v>1379.4069999999999</v>
      </c>
      <c r="L59" s="353">
        <v>1335.808</v>
      </c>
      <c r="M59" s="353">
        <v>1179.442</v>
      </c>
      <c r="N59" s="349"/>
      <c r="O59" s="349"/>
      <c r="P59" s="349"/>
      <c r="Q59" s="349"/>
    </row>
    <row r="60" spans="1:17" s="357" customFormat="1" ht="16.5" customHeight="1" x14ac:dyDescent="0.3">
      <c r="A60" s="119" t="s">
        <v>200</v>
      </c>
      <c r="B60" s="119" t="s">
        <v>201</v>
      </c>
      <c r="C60" s="98" t="s">
        <v>202</v>
      </c>
      <c r="D60" s="353">
        <v>0</v>
      </c>
      <c r="E60" s="353">
        <v>0</v>
      </c>
      <c r="F60" s="353">
        <v>0</v>
      </c>
      <c r="G60" s="353">
        <v>0</v>
      </c>
      <c r="H60" s="352">
        <v>0</v>
      </c>
      <c r="I60" s="352">
        <v>0</v>
      </c>
      <c r="J60" s="352">
        <v>3.0000000000000001E-3</v>
      </c>
      <c r="K60" s="352">
        <v>0</v>
      </c>
      <c r="L60" s="352">
        <v>0</v>
      </c>
      <c r="M60" s="352">
        <v>0</v>
      </c>
      <c r="N60" s="349"/>
      <c r="O60" s="349"/>
      <c r="P60" s="349"/>
      <c r="Q60" s="349"/>
    </row>
    <row r="61" spans="1:17" s="357" customFormat="1" ht="16.5" customHeight="1" x14ac:dyDescent="0.3">
      <c r="A61" s="117" t="s">
        <v>203</v>
      </c>
      <c r="B61" s="117" t="s">
        <v>204</v>
      </c>
      <c r="C61" s="118" t="s">
        <v>205</v>
      </c>
      <c r="D61" s="353">
        <v>11147.477999999999</v>
      </c>
      <c r="E61" s="353">
        <v>12334.675999999999</v>
      </c>
      <c r="F61" s="353">
        <v>13234.156000000001</v>
      </c>
      <c r="G61" s="353">
        <v>13213.632</v>
      </c>
      <c r="H61" s="352">
        <v>13743.612999999999</v>
      </c>
      <c r="I61" s="352">
        <v>14097.725</v>
      </c>
      <c r="J61" s="352">
        <v>14500.93</v>
      </c>
      <c r="K61" s="353">
        <v>14960.204</v>
      </c>
      <c r="L61" s="353">
        <v>15519.974</v>
      </c>
      <c r="M61" s="353">
        <v>15715.277</v>
      </c>
      <c r="N61" s="349"/>
      <c r="O61" s="349"/>
      <c r="P61" s="349"/>
      <c r="Q61" s="349"/>
    </row>
    <row r="62" spans="1:17" ht="16.5" customHeight="1" x14ac:dyDescent="0.3">
      <c r="A62" s="105" t="s">
        <v>206</v>
      </c>
      <c r="B62" s="105" t="s">
        <v>207</v>
      </c>
      <c r="C62" s="98" t="s">
        <v>208</v>
      </c>
      <c r="D62" s="353">
        <v>7987.7820000000002</v>
      </c>
      <c r="E62" s="353">
        <v>9049.2180000000008</v>
      </c>
      <c r="F62" s="353">
        <v>9752.2469999999994</v>
      </c>
      <c r="G62" s="353">
        <v>9820.7620000000006</v>
      </c>
      <c r="H62" s="352">
        <v>10242.102999999999</v>
      </c>
      <c r="I62" s="352">
        <v>10433.272000000001</v>
      </c>
      <c r="J62" s="352">
        <v>10670.954</v>
      </c>
      <c r="K62" s="353">
        <v>10967.34</v>
      </c>
      <c r="L62" s="353">
        <v>11281.543</v>
      </c>
      <c r="M62" s="353">
        <v>11468.735000000001</v>
      </c>
      <c r="N62" s="349"/>
      <c r="O62" s="349"/>
      <c r="P62" s="349"/>
      <c r="Q62" s="349"/>
    </row>
    <row r="63" spans="1:17" ht="16.5" customHeight="1" x14ac:dyDescent="0.3">
      <c r="A63" s="120" t="s">
        <v>209</v>
      </c>
      <c r="B63" s="120" t="s">
        <v>210</v>
      </c>
      <c r="C63" s="100"/>
      <c r="D63" s="353">
        <v>70.034000000000006</v>
      </c>
      <c r="E63" s="353">
        <v>56.390999999999998</v>
      </c>
      <c r="F63" s="353">
        <v>104.119</v>
      </c>
      <c r="G63" s="353">
        <v>72.921000000000006</v>
      </c>
      <c r="H63" s="352">
        <v>57.134</v>
      </c>
      <c r="I63" s="352">
        <v>38.021999999999998</v>
      </c>
      <c r="J63" s="352">
        <v>50.674999999999997</v>
      </c>
      <c r="K63" s="353">
        <v>39.174999999999997</v>
      </c>
      <c r="L63" s="353">
        <v>69.275999999999996</v>
      </c>
      <c r="M63" s="353">
        <v>64.802999999999997</v>
      </c>
      <c r="N63" s="349"/>
      <c r="O63" s="349"/>
      <c r="P63" s="349"/>
      <c r="Q63" s="349"/>
    </row>
    <row r="64" spans="1:17" ht="16.5" customHeight="1" x14ac:dyDescent="0.3">
      <c r="A64" s="120" t="s">
        <v>211</v>
      </c>
      <c r="B64" s="120" t="s">
        <v>212</v>
      </c>
      <c r="C64" s="100"/>
      <c r="D64" s="353">
        <v>246.61600000000001</v>
      </c>
      <c r="E64" s="353">
        <v>316.95999999999998</v>
      </c>
      <c r="F64" s="353">
        <v>338.78500000000003</v>
      </c>
      <c r="G64" s="353">
        <v>381.76400000000001</v>
      </c>
      <c r="H64" s="352">
        <v>428.45800000000003</v>
      </c>
      <c r="I64" s="352">
        <v>404.19499999999999</v>
      </c>
      <c r="J64" s="352">
        <v>386.42199999999997</v>
      </c>
      <c r="K64" s="353">
        <v>420.91399999999999</v>
      </c>
      <c r="L64" s="353">
        <v>479.09399999999999</v>
      </c>
      <c r="M64" s="353">
        <v>566.07899999999995</v>
      </c>
      <c r="N64" s="349"/>
      <c r="O64" s="349"/>
      <c r="P64" s="349"/>
      <c r="Q64" s="349"/>
    </row>
    <row r="65" spans="1:17" ht="16.5" customHeight="1" x14ac:dyDescent="0.3">
      <c r="A65" s="120" t="s">
        <v>213</v>
      </c>
      <c r="B65" s="120" t="s">
        <v>214</v>
      </c>
      <c r="C65" s="100"/>
      <c r="D65" s="353">
        <v>4531.942</v>
      </c>
      <c r="E65" s="353">
        <v>5034.7359999999999</v>
      </c>
      <c r="F65" s="353">
        <v>5244.51</v>
      </c>
      <c r="G65" s="353">
        <v>5390.7460000000001</v>
      </c>
      <c r="H65" s="352">
        <v>5639.5029999999997</v>
      </c>
      <c r="I65" s="352">
        <v>6053.0309999999999</v>
      </c>
      <c r="J65" s="352">
        <v>6416.4940000000006</v>
      </c>
      <c r="K65" s="353">
        <v>6596.7930000000006</v>
      </c>
      <c r="L65" s="353">
        <v>6829.8070000000007</v>
      </c>
      <c r="M65" s="353">
        <v>7137.2019999999993</v>
      </c>
      <c r="N65" s="349"/>
      <c r="O65" s="349"/>
      <c r="P65" s="349"/>
      <c r="Q65" s="349"/>
    </row>
    <row r="66" spans="1:17" ht="16.5" customHeight="1" x14ac:dyDescent="0.3">
      <c r="A66" s="120" t="s">
        <v>215</v>
      </c>
      <c r="B66" s="120" t="s">
        <v>216</v>
      </c>
      <c r="C66" s="100"/>
      <c r="D66" s="353">
        <v>66.120999999999995</v>
      </c>
      <c r="E66" s="353">
        <v>172.43</v>
      </c>
      <c r="F66" s="353">
        <v>150.339</v>
      </c>
      <c r="G66" s="353">
        <v>163.334</v>
      </c>
      <c r="H66" s="353">
        <v>175.773</v>
      </c>
      <c r="I66" s="353">
        <v>174.30799999999999</v>
      </c>
      <c r="J66" s="353">
        <v>154.721</v>
      </c>
      <c r="K66" s="353">
        <v>158.624</v>
      </c>
      <c r="L66" s="353">
        <v>171.63</v>
      </c>
      <c r="M66" s="353">
        <v>172.86</v>
      </c>
      <c r="N66" s="349"/>
      <c r="O66" s="349"/>
      <c r="P66" s="349"/>
      <c r="Q66" s="349"/>
    </row>
    <row r="67" spans="1:17" ht="16.5" customHeight="1" x14ac:dyDescent="0.3">
      <c r="A67" s="120" t="s">
        <v>217</v>
      </c>
      <c r="B67" s="120" t="s">
        <v>218</v>
      </c>
      <c r="C67" s="100"/>
      <c r="D67" s="353">
        <f>SUM(D68:D73)</f>
        <v>1086.5720000000001</v>
      </c>
      <c r="E67" s="353">
        <f t="shared" ref="E67:H67" si="19">SUM(E68:E73)</f>
        <v>1211.0309999999999</v>
      </c>
      <c r="F67" s="353">
        <f t="shared" si="19"/>
        <v>1364.961</v>
      </c>
      <c r="G67" s="353">
        <f t="shared" si="19"/>
        <v>1376.3489999999999</v>
      </c>
      <c r="H67" s="353">
        <f t="shared" si="19"/>
        <v>1381.508</v>
      </c>
      <c r="I67" s="353">
        <v>1374.616</v>
      </c>
      <c r="J67" s="353">
        <v>1362.7940000000001</v>
      </c>
      <c r="K67" s="353">
        <v>1336.7550000000001</v>
      </c>
      <c r="L67" s="353">
        <v>1320.384</v>
      </c>
      <c r="M67" s="353">
        <v>1354.5269999999998</v>
      </c>
      <c r="N67" s="349"/>
      <c r="O67" s="349"/>
      <c r="P67" s="349"/>
      <c r="Q67" s="349"/>
    </row>
    <row r="68" spans="1:17" ht="16.5" customHeight="1" x14ac:dyDescent="0.3">
      <c r="A68" s="103" t="s">
        <v>219</v>
      </c>
      <c r="B68" s="103" t="s">
        <v>220</v>
      </c>
      <c r="C68" s="100"/>
      <c r="D68" s="353">
        <v>268.47500000000002</v>
      </c>
      <c r="E68" s="353">
        <v>308.18900000000002</v>
      </c>
      <c r="F68" s="353">
        <v>318.96699999999998</v>
      </c>
      <c r="G68" s="353">
        <v>315.02</v>
      </c>
      <c r="H68" s="353">
        <v>316.46300000000002</v>
      </c>
      <c r="I68" s="353">
        <v>318.49400000000003</v>
      </c>
      <c r="J68" s="353">
        <v>319.09399999999999</v>
      </c>
      <c r="K68" s="353">
        <v>315.59899999999999</v>
      </c>
      <c r="L68" s="353">
        <v>312.83800000000002</v>
      </c>
      <c r="M68" s="353">
        <v>313.572</v>
      </c>
      <c r="N68" s="349"/>
      <c r="O68" s="349"/>
      <c r="P68" s="349"/>
      <c r="Q68" s="349"/>
    </row>
    <row r="69" spans="1:17" ht="16.5" customHeight="1" x14ac:dyDescent="0.3">
      <c r="A69" s="103" t="s">
        <v>221</v>
      </c>
      <c r="B69" s="103" t="s">
        <v>222</v>
      </c>
      <c r="C69" s="100"/>
      <c r="D69" s="353">
        <v>22.914999999999999</v>
      </c>
      <c r="E69" s="353">
        <v>8.7729999999999997</v>
      </c>
      <c r="F69" s="353">
        <v>8.8369999999999997</v>
      </c>
      <c r="G69" s="353">
        <v>8.8719999999999999</v>
      </c>
      <c r="H69" s="353">
        <v>8.8829999999999991</v>
      </c>
      <c r="I69" s="353">
        <v>8.9819999999999993</v>
      </c>
      <c r="J69" s="353">
        <v>35.101999999999997</v>
      </c>
      <c r="K69" s="353">
        <v>41.463000000000001</v>
      </c>
      <c r="L69" s="353">
        <v>43.89</v>
      </c>
      <c r="M69" s="353">
        <v>40.57</v>
      </c>
      <c r="N69" s="349"/>
      <c r="O69" s="349"/>
      <c r="P69" s="349"/>
      <c r="Q69" s="349"/>
    </row>
    <row r="70" spans="1:17" ht="16.5" customHeight="1" x14ac:dyDescent="0.3">
      <c r="A70" s="103" t="s">
        <v>223</v>
      </c>
      <c r="B70" s="103" t="s">
        <v>224</v>
      </c>
      <c r="C70" s="100"/>
      <c r="D70" s="353">
        <v>0</v>
      </c>
      <c r="E70" s="356">
        <v>268.46499999999997</v>
      </c>
      <c r="F70" s="356">
        <v>334.488</v>
      </c>
      <c r="G70" s="356">
        <v>352.24</v>
      </c>
      <c r="H70" s="356">
        <v>343.54300000000001</v>
      </c>
      <c r="I70" s="353">
        <v>349.31599999999997</v>
      </c>
      <c r="J70" s="353">
        <v>356.00200000000001</v>
      </c>
      <c r="K70" s="353">
        <v>355.279</v>
      </c>
      <c r="L70" s="353">
        <v>352.44400000000002</v>
      </c>
      <c r="M70" s="353">
        <v>356.709</v>
      </c>
      <c r="N70" s="349"/>
      <c r="O70" s="349"/>
      <c r="P70" s="349"/>
      <c r="Q70" s="349"/>
    </row>
    <row r="71" spans="1:17" ht="16.5" customHeight="1" x14ac:dyDescent="0.3">
      <c r="A71" s="103" t="s">
        <v>225</v>
      </c>
      <c r="B71" s="103" t="s">
        <v>226</v>
      </c>
      <c r="C71" s="100"/>
      <c r="D71" s="353">
        <v>247.214</v>
      </c>
      <c r="E71" s="356">
        <v>275.601</v>
      </c>
      <c r="F71" s="356">
        <v>322.87700000000001</v>
      </c>
      <c r="G71" s="356">
        <v>313.17500000000001</v>
      </c>
      <c r="H71" s="356">
        <v>308.98899999999998</v>
      </c>
      <c r="I71" s="353">
        <v>273.64400000000001</v>
      </c>
      <c r="J71" s="353">
        <v>244.45699999999999</v>
      </c>
      <c r="K71" s="353">
        <v>213.18100000000001</v>
      </c>
      <c r="L71" s="353">
        <v>182.68600000000001</v>
      </c>
      <c r="M71" s="353">
        <v>181.32399999999998</v>
      </c>
      <c r="N71" s="349"/>
      <c r="O71" s="349"/>
      <c r="P71" s="349"/>
      <c r="Q71" s="349"/>
    </row>
    <row r="72" spans="1:17" ht="16.5" customHeight="1" x14ac:dyDescent="0.3">
      <c r="A72" s="103" t="s">
        <v>227</v>
      </c>
      <c r="B72" s="103" t="s">
        <v>228</v>
      </c>
      <c r="C72" s="100"/>
      <c r="D72" s="353">
        <v>177.84200000000001</v>
      </c>
      <c r="E72" s="356">
        <v>184.589</v>
      </c>
      <c r="F72" s="356">
        <v>207.06299999999999</v>
      </c>
      <c r="G72" s="356">
        <v>210.56700000000001</v>
      </c>
      <c r="H72" s="356">
        <v>225.48699999999999</v>
      </c>
      <c r="I72" s="353">
        <v>232.52099999999999</v>
      </c>
      <c r="J72" s="353">
        <v>235.774</v>
      </c>
      <c r="K72" s="353">
        <v>231.63499999999999</v>
      </c>
      <c r="L72" s="353">
        <v>226.34299999999999</v>
      </c>
      <c r="M72" s="353">
        <v>259.09899999999999</v>
      </c>
      <c r="N72" s="349"/>
      <c r="O72" s="349"/>
      <c r="P72" s="349"/>
      <c r="Q72" s="349"/>
    </row>
    <row r="73" spans="1:17" ht="16.5" customHeight="1" x14ac:dyDescent="0.3">
      <c r="A73" s="103" t="s">
        <v>229</v>
      </c>
      <c r="B73" s="103" t="s">
        <v>230</v>
      </c>
      <c r="C73" s="100"/>
      <c r="D73" s="353">
        <v>370.12599999999998</v>
      </c>
      <c r="E73" s="356">
        <v>165.41399999999999</v>
      </c>
      <c r="F73" s="356">
        <v>172.72900000000001</v>
      </c>
      <c r="G73" s="356">
        <v>176.47499999999999</v>
      </c>
      <c r="H73" s="356">
        <v>178.143</v>
      </c>
      <c r="I73" s="353">
        <v>191.65899999999999</v>
      </c>
      <c r="J73" s="353">
        <v>172.36500000000001</v>
      </c>
      <c r="K73" s="353">
        <v>179.59800000000001</v>
      </c>
      <c r="L73" s="353">
        <v>202.18299999999999</v>
      </c>
      <c r="M73" s="353">
        <v>203.25299999999993</v>
      </c>
      <c r="N73" s="349"/>
      <c r="O73" s="349"/>
      <c r="P73" s="349"/>
      <c r="Q73" s="349"/>
    </row>
    <row r="74" spans="1:17" ht="16.5" customHeight="1" x14ac:dyDescent="0.3">
      <c r="A74" s="120" t="s">
        <v>231</v>
      </c>
      <c r="B74" s="120" t="s">
        <v>232</v>
      </c>
      <c r="C74" s="100" t="s">
        <v>233</v>
      </c>
      <c r="D74" s="353">
        <f>1208.545</f>
        <v>1208.5450000000001</v>
      </c>
      <c r="E74" s="353">
        <f>1399.85</f>
        <v>1399.85</v>
      </c>
      <c r="F74" s="353">
        <f>1564.23</f>
        <v>1564.23</v>
      </c>
      <c r="G74" s="353">
        <f>1446.947</f>
        <v>1446.9469999999999</v>
      </c>
      <c r="H74" s="353">
        <f>1599.291</f>
        <v>1599.2909999999999</v>
      </c>
      <c r="I74" s="353">
        <v>1541.4659999999999</v>
      </c>
      <c r="J74" s="353">
        <v>1447.056</v>
      </c>
      <c r="K74" s="353">
        <v>1582.232</v>
      </c>
      <c r="L74" s="353">
        <v>1626.5160000000001</v>
      </c>
      <c r="M74" s="353">
        <v>1551.711</v>
      </c>
      <c r="N74" s="349"/>
      <c r="O74" s="349"/>
      <c r="P74" s="349"/>
      <c r="Q74" s="349"/>
    </row>
    <row r="75" spans="1:17" ht="16.5" customHeight="1" x14ac:dyDescent="0.3">
      <c r="A75" s="121" t="s">
        <v>234</v>
      </c>
      <c r="B75" s="121" t="s">
        <v>235</v>
      </c>
      <c r="C75" s="100"/>
      <c r="D75" s="353">
        <v>211.08799999999999</v>
      </c>
      <c r="E75" s="353">
        <v>235.84200000000001</v>
      </c>
      <c r="F75" s="353">
        <v>221.084</v>
      </c>
      <c r="G75" s="353">
        <v>237.16800000000001</v>
      </c>
      <c r="H75" s="353">
        <v>238.774</v>
      </c>
      <c r="I75" s="353">
        <v>262.14800000000002</v>
      </c>
      <c r="J75" s="353">
        <v>232.90899999999999</v>
      </c>
      <c r="K75" s="353">
        <v>227.756</v>
      </c>
      <c r="L75" s="353">
        <v>231.49600000000001</v>
      </c>
      <c r="M75" s="353">
        <v>224.91499999999999</v>
      </c>
      <c r="N75" s="349"/>
      <c r="O75" s="349"/>
      <c r="P75" s="349"/>
      <c r="Q75" s="349"/>
    </row>
    <row r="76" spans="1:17" ht="16.5" customHeight="1" x14ac:dyDescent="0.3">
      <c r="A76" s="121" t="s">
        <v>236</v>
      </c>
      <c r="B76" s="121" t="s">
        <v>237</v>
      </c>
      <c r="C76" s="100"/>
      <c r="D76" s="353">
        <v>997.45699999999999</v>
      </c>
      <c r="E76" s="353">
        <v>1162.3820000000001</v>
      </c>
      <c r="F76" s="353">
        <v>1341.2249999999999</v>
      </c>
      <c r="G76" s="353">
        <v>1207.549</v>
      </c>
      <c r="H76" s="353">
        <v>1358.204</v>
      </c>
      <c r="I76" s="353">
        <v>1276.828</v>
      </c>
      <c r="J76" s="353">
        <v>1211.5350000000001</v>
      </c>
      <c r="K76" s="353">
        <v>1351.6279999999999</v>
      </c>
      <c r="L76" s="353">
        <v>1392.1</v>
      </c>
      <c r="M76" s="353">
        <v>1326.796</v>
      </c>
      <c r="N76" s="349"/>
      <c r="O76" s="349"/>
      <c r="P76" s="349"/>
      <c r="Q76" s="349"/>
    </row>
    <row r="77" spans="1:17" ht="16.5" customHeight="1" x14ac:dyDescent="0.3">
      <c r="A77" s="104" t="s">
        <v>238</v>
      </c>
      <c r="B77" s="104" t="s">
        <v>239</v>
      </c>
      <c r="C77" s="98" t="s">
        <v>240</v>
      </c>
      <c r="D77" s="352">
        <v>3159.6959999999999</v>
      </c>
      <c r="E77" s="352">
        <v>3285.4580000000001</v>
      </c>
      <c r="F77" s="352">
        <v>3481.9090000000001</v>
      </c>
      <c r="G77" s="352">
        <v>3392.87</v>
      </c>
      <c r="H77" s="353">
        <v>3501.51</v>
      </c>
      <c r="I77" s="353">
        <v>3664.453</v>
      </c>
      <c r="J77" s="353">
        <v>3829.9760000000001</v>
      </c>
      <c r="K77" s="353">
        <v>3992.864</v>
      </c>
      <c r="L77" s="353">
        <v>4238.4309999999996</v>
      </c>
      <c r="M77" s="353">
        <v>4375.9259999999995</v>
      </c>
      <c r="N77" s="349"/>
      <c r="O77" s="349"/>
      <c r="P77" s="349"/>
      <c r="Q77" s="349"/>
    </row>
    <row r="78" spans="1:17" s="357" customFormat="1" ht="16.5" customHeight="1" x14ac:dyDescent="0.3">
      <c r="A78" s="117" t="s">
        <v>153</v>
      </c>
      <c r="B78" s="117" t="s">
        <v>241</v>
      </c>
      <c r="C78" s="118" t="s">
        <v>155</v>
      </c>
      <c r="D78" s="352">
        <v>985.37699999999995</v>
      </c>
      <c r="E78" s="352">
        <v>1140.5940000000001</v>
      </c>
      <c r="F78" s="352">
        <v>1053.2</v>
      </c>
      <c r="G78" s="352">
        <v>965.41200000000003</v>
      </c>
      <c r="H78" s="352">
        <v>1053.2090000000001</v>
      </c>
      <c r="I78" s="352">
        <v>1205.778</v>
      </c>
      <c r="J78" s="359">
        <v>1263.434</v>
      </c>
      <c r="K78" s="353">
        <v>1489.318</v>
      </c>
      <c r="L78" s="353">
        <v>1358.1030000000001</v>
      </c>
      <c r="M78" s="353">
        <v>1216.5260000000001</v>
      </c>
      <c r="N78" s="349"/>
      <c r="O78" s="349"/>
      <c r="P78" s="349"/>
      <c r="Q78" s="349"/>
    </row>
    <row r="79" spans="1:17" s="357" customFormat="1" ht="16.5" customHeight="1" x14ac:dyDescent="0.3">
      <c r="A79" s="105" t="s">
        <v>242</v>
      </c>
      <c r="B79" s="105" t="s">
        <v>243</v>
      </c>
      <c r="C79" s="100" t="s">
        <v>233</v>
      </c>
      <c r="D79" s="352">
        <v>519.57100000000003</v>
      </c>
      <c r="E79" s="352">
        <v>612.11599999999999</v>
      </c>
      <c r="F79" s="352">
        <v>520.27</v>
      </c>
      <c r="G79" s="352">
        <v>582.13900000000001</v>
      </c>
      <c r="H79" s="353">
        <f>620.761+19.55</f>
        <v>640.31099999999992</v>
      </c>
      <c r="I79" s="353">
        <v>713.40899999999999</v>
      </c>
      <c r="J79" s="353">
        <v>595.96500000000003</v>
      </c>
      <c r="K79" s="353">
        <v>637.48299999999995</v>
      </c>
      <c r="L79" s="353">
        <v>684.19600000000003</v>
      </c>
      <c r="M79" s="353">
        <v>661.14699999999993</v>
      </c>
      <c r="N79" s="349"/>
      <c r="O79" s="349"/>
      <c r="P79" s="349"/>
      <c r="Q79" s="349"/>
    </row>
    <row r="80" spans="1:17" s="357" customFormat="1" ht="16.5" customHeight="1" x14ac:dyDescent="0.3">
      <c r="A80" s="105" t="s">
        <v>244</v>
      </c>
      <c r="B80" s="105" t="s">
        <v>245</v>
      </c>
      <c r="C80" s="100"/>
      <c r="D80" s="352">
        <v>49.18</v>
      </c>
      <c r="E80" s="352">
        <v>55.18</v>
      </c>
      <c r="F80" s="352">
        <v>44.145000000000003</v>
      </c>
      <c r="G80" s="352">
        <v>41.97</v>
      </c>
      <c r="H80" s="353">
        <v>44.695</v>
      </c>
      <c r="I80" s="353">
        <v>46.707000000000001</v>
      </c>
      <c r="J80" s="353">
        <v>52.192999999999998</v>
      </c>
      <c r="K80" s="353">
        <v>56.970000000000006</v>
      </c>
      <c r="L80" s="353">
        <v>61.631</v>
      </c>
      <c r="M80" s="353">
        <v>63.235999999999997</v>
      </c>
      <c r="N80" s="349"/>
      <c r="O80" s="349"/>
      <c r="P80" s="349"/>
      <c r="Q80" s="349"/>
    </row>
    <row r="81" spans="1:17" s="357" customFormat="1" ht="16.5" customHeight="1" x14ac:dyDescent="0.3">
      <c r="A81" s="122" t="s">
        <v>246</v>
      </c>
      <c r="B81" s="122" t="s">
        <v>247</v>
      </c>
      <c r="C81" s="96" t="s">
        <v>248</v>
      </c>
      <c r="D81" s="360">
        <f>D82+D86</f>
        <v>2862.7339999999999</v>
      </c>
      <c r="E81" s="360">
        <f t="shared" ref="E81:L81" si="20">E82+E86</f>
        <v>3677.047</v>
      </c>
      <c r="F81" s="360">
        <f t="shared" si="20"/>
        <v>3044.8850000000002</v>
      </c>
      <c r="G81" s="360">
        <f t="shared" si="20"/>
        <v>3171.741</v>
      </c>
      <c r="H81" s="350">
        <f t="shared" si="20"/>
        <v>2892.5819999999999</v>
      </c>
      <c r="I81" s="350">
        <f t="shared" si="20"/>
        <v>2932.5709999999999</v>
      </c>
      <c r="J81" s="350">
        <f t="shared" si="20"/>
        <v>3227.069</v>
      </c>
      <c r="K81" s="350">
        <f t="shared" si="20"/>
        <v>5614.9900000000007</v>
      </c>
      <c r="L81" s="350">
        <f t="shared" si="20"/>
        <v>3149.9189999999999</v>
      </c>
      <c r="M81" s="350">
        <f t="shared" ref="M81" si="21">M82+M86</f>
        <v>2932.9549999999999</v>
      </c>
      <c r="N81" s="349"/>
      <c r="O81" s="349"/>
      <c r="P81" s="349"/>
      <c r="Q81" s="349"/>
    </row>
    <row r="82" spans="1:17" ht="16.5" customHeight="1" x14ac:dyDescent="0.3">
      <c r="A82" s="106" t="s">
        <v>249</v>
      </c>
      <c r="B82" s="106" t="s">
        <v>250</v>
      </c>
      <c r="C82" s="98" t="s">
        <v>251</v>
      </c>
      <c r="D82" s="352">
        <f>SUM(D83:D85)</f>
        <v>2231.2579999999998</v>
      </c>
      <c r="E82" s="352">
        <f>SUM(E83:E85)</f>
        <v>2569.4960000000001</v>
      </c>
      <c r="F82" s="352">
        <f>SUM(F83:F85)</f>
        <v>2577.0230000000001</v>
      </c>
      <c r="G82" s="352">
        <f>SUM(G83:G85)</f>
        <v>2629.203</v>
      </c>
      <c r="H82" s="352">
        <v>2489.748</v>
      </c>
      <c r="I82" s="352">
        <v>2552.8429999999998</v>
      </c>
      <c r="J82" s="352">
        <v>2841.59</v>
      </c>
      <c r="K82" s="353">
        <v>5055.8500000000004</v>
      </c>
      <c r="L82" s="353">
        <v>2806.38</v>
      </c>
      <c r="M82" s="353">
        <v>2759.8420000000001</v>
      </c>
      <c r="N82" s="349"/>
      <c r="O82" s="349"/>
      <c r="P82" s="349"/>
      <c r="Q82" s="349"/>
    </row>
    <row r="83" spans="1:17" ht="16.5" customHeight="1" x14ac:dyDescent="0.3">
      <c r="A83" s="105" t="s">
        <v>252</v>
      </c>
      <c r="B83" s="105" t="s">
        <v>253</v>
      </c>
      <c r="C83" s="98" t="s">
        <v>254</v>
      </c>
      <c r="D83" s="352">
        <v>2307.6439999999998</v>
      </c>
      <c r="E83" s="352">
        <v>2486.96</v>
      </c>
      <c r="F83" s="352">
        <v>2441.0880000000002</v>
      </c>
      <c r="G83" s="352">
        <v>2691.759</v>
      </c>
      <c r="H83" s="352">
        <v>2435.8110000000001</v>
      </c>
      <c r="I83" s="352">
        <v>2466.08</v>
      </c>
      <c r="J83" s="352">
        <v>3023.41</v>
      </c>
      <c r="K83" s="353">
        <v>4950.6450000000004</v>
      </c>
      <c r="L83" s="353">
        <v>2599.5709999999999</v>
      </c>
      <c r="M83" s="353">
        <v>2698.9659999999999</v>
      </c>
      <c r="N83" s="349"/>
      <c r="O83" s="349"/>
      <c r="P83" s="349"/>
      <c r="Q83" s="349"/>
    </row>
    <row r="84" spans="1:17" ht="16.5" customHeight="1" x14ac:dyDescent="0.3">
      <c r="A84" s="105" t="s">
        <v>255</v>
      </c>
      <c r="B84" s="105" t="s">
        <v>256</v>
      </c>
      <c r="C84" s="98" t="s">
        <v>257</v>
      </c>
      <c r="D84" s="352">
        <v>109.414</v>
      </c>
      <c r="E84" s="353">
        <v>52.887</v>
      </c>
      <c r="F84" s="353">
        <v>94.768000000000001</v>
      </c>
      <c r="G84" s="353">
        <v>2.2530000000000001</v>
      </c>
      <c r="H84" s="352">
        <v>19.579999999999998</v>
      </c>
      <c r="I84" s="352">
        <v>60.564</v>
      </c>
      <c r="J84" s="352">
        <v>47.12</v>
      </c>
      <c r="K84" s="353">
        <v>6.43</v>
      </c>
      <c r="L84" s="353">
        <v>21.318999999999999</v>
      </c>
      <c r="M84" s="353">
        <v>14.135</v>
      </c>
      <c r="N84" s="349"/>
      <c r="O84" s="349"/>
      <c r="P84" s="349"/>
      <c r="Q84" s="349"/>
    </row>
    <row r="85" spans="1:17" ht="16.5" customHeight="1" x14ac:dyDescent="0.3">
      <c r="A85" s="105" t="s">
        <v>258</v>
      </c>
      <c r="B85" s="105" t="s">
        <v>259</v>
      </c>
      <c r="C85" s="98" t="s">
        <v>260</v>
      </c>
      <c r="D85" s="353">
        <v>-185.8</v>
      </c>
      <c r="E85" s="353">
        <v>29.649000000000001</v>
      </c>
      <c r="F85" s="353">
        <v>41.167000000000002</v>
      </c>
      <c r="G85" s="353">
        <v>-64.808999999999997</v>
      </c>
      <c r="H85" s="353">
        <v>34.356999999999999</v>
      </c>
      <c r="I85" s="353">
        <v>26.199000000000002</v>
      </c>
      <c r="J85" s="353">
        <v>-228.94</v>
      </c>
      <c r="K85" s="353">
        <v>98.775000000000006</v>
      </c>
      <c r="L85" s="353">
        <v>185.49</v>
      </c>
      <c r="M85" s="353">
        <v>26.284000000000006</v>
      </c>
      <c r="N85" s="349"/>
      <c r="O85" s="349"/>
      <c r="P85" s="349"/>
      <c r="Q85" s="349"/>
    </row>
    <row r="86" spans="1:17" ht="16.5" customHeight="1" x14ac:dyDescent="0.3">
      <c r="A86" s="106" t="s">
        <v>156</v>
      </c>
      <c r="B86" s="106" t="s">
        <v>261</v>
      </c>
      <c r="C86" s="98" t="s">
        <v>158</v>
      </c>
      <c r="D86" s="353">
        <f t="shared" ref="D86:H86" si="22">D87</f>
        <v>631.476</v>
      </c>
      <c r="E86" s="353">
        <f t="shared" si="22"/>
        <v>1107.5509999999999</v>
      </c>
      <c r="F86" s="353">
        <f t="shared" si="22"/>
        <v>467.86200000000002</v>
      </c>
      <c r="G86" s="353">
        <f t="shared" si="22"/>
        <v>542.53800000000001</v>
      </c>
      <c r="H86" s="353">
        <f t="shared" si="22"/>
        <v>402.834</v>
      </c>
      <c r="I86" s="353">
        <v>379.72800000000001</v>
      </c>
      <c r="J86" s="353">
        <v>385.47899999999998</v>
      </c>
      <c r="K86" s="353">
        <v>559.14</v>
      </c>
      <c r="L86" s="353">
        <v>343.53899999999999</v>
      </c>
      <c r="M86" s="353">
        <v>173.113</v>
      </c>
      <c r="N86" s="349"/>
      <c r="O86" s="349"/>
      <c r="P86" s="349"/>
      <c r="Q86" s="349"/>
    </row>
    <row r="87" spans="1:17" ht="16.5" customHeight="1" x14ac:dyDescent="0.3">
      <c r="A87" s="105" t="s">
        <v>262</v>
      </c>
      <c r="B87" s="105" t="s">
        <v>263</v>
      </c>
      <c r="C87" s="123" t="s">
        <v>264</v>
      </c>
      <c r="D87" s="353">
        <v>631.476</v>
      </c>
      <c r="E87" s="356">
        <v>1107.5509999999999</v>
      </c>
      <c r="F87" s="356">
        <v>467.86200000000002</v>
      </c>
      <c r="G87" s="356">
        <v>542.53800000000001</v>
      </c>
      <c r="H87" s="356">
        <v>402.834</v>
      </c>
      <c r="I87" s="353">
        <v>379.72800000000001</v>
      </c>
      <c r="J87" s="353">
        <v>385.47899999999998</v>
      </c>
      <c r="K87" s="361">
        <v>559.14</v>
      </c>
      <c r="L87" s="353">
        <v>343.53899999999999</v>
      </c>
      <c r="M87" s="353">
        <v>173.113</v>
      </c>
      <c r="N87" s="349"/>
      <c r="O87" s="349"/>
      <c r="P87" s="349"/>
      <c r="Q87" s="349"/>
    </row>
    <row r="88" spans="1:17" ht="16.5" customHeight="1" x14ac:dyDescent="0.3">
      <c r="A88" s="92" t="s">
        <v>265</v>
      </c>
      <c r="B88" s="92" t="s">
        <v>266</v>
      </c>
      <c r="C88" s="124" t="s">
        <v>267</v>
      </c>
      <c r="D88" s="93">
        <f t="shared" ref="D88:L88" si="23">D7-D42</f>
        <v>-1662.8050000000003</v>
      </c>
      <c r="E88" s="93">
        <f t="shared" si="23"/>
        <v>-4996.4929999999986</v>
      </c>
      <c r="F88" s="93">
        <f t="shared" si="23"/>
        <v>-5058.107</v>
      </c>
      <c r="G88" s="93">
        <f t="shared" si="23"/>
        <v>-3020.6909999999989</v>
      </c>
      <c r="H88" s="93">
        <f t="shared" si="23"/>
        <v>-3158.8849999999984</v>
      </c>
      <c r="I88" s="125">
        <f t="shared" si="23"/>
        <v>-2017.4120000000003</v>
      </c>
      <c r="J88" s="126">
        <f t="shared" si="23"/>
        <v>-2056.1159999999982</v>
      </c>
      <c r="K88" s="125">
        <f t="shared" si="23"/>
        <v>-2026.9389999999985</v>
      </c>
      <c r="L88" s="125">
        <f t="shared" si="23"/>
        <v>-1804.7129999999997</v>
      </c>
      <c r="M88" s="125">
        <v>-659.33299999999997</v>
      </c>
      <c r="N88" s="349"/>
      <c r="O88" s="349"/>
      <c r="P88" s="349"/>
      <c r="Q88" s="349"/>
    </row>
    <row r="89" spans="1:17" ht="16.5" customHeight="1" x14ac:dyDescent="0.3">
      <c r="A89" s="127" t="s">
        <v>33</v>
      </c>
      <c r="B89" s="127" t="s">
        <v>268</v>
      </c>
      <c r="C89" s="128"/>
      <c r="D89" s="129">
        <f>D88/D90</f>
        <v>-2.4277502642659831E-2</v>
      </c>
      <c r="E89" s="129">
        <f>E88/E90</f>
        <v>-7.8042034828054233E-2</v>
      </c>
      <c r="F89" s="129">
        <f t="shared" ref="F89:L89" si="24">F88/F90</f>
        <v>-7.4849202320897701E-2</v>
      </c>
      <c r="G89" s="129">
        <f t="shared" si="24"/>
        <v>-4.2769513728421894E-2</v>
      </c>
      <c r="H89" s="129">
        <f t="shared" si="24"/>
        <v>-4.3448871099740709E-2</v>
      </c>
      <c r="I89" s="129">
        <f t="shared" si="24"/>
        <v>-2.719988478340795E-2</v>
      </c>
      <c r="J89" s="129">
        <f>J88/J90</f>
        <v>-2.7022943195260912E-2</v>
      </c>
      <c r="K89" s="129">
        <f t="shared" si="24"/>
        <v>-2.5612636176578177E-2</v>
      </c>
      <c r="L89" s="129">
        <f t="shared" si="24"/>
        <v>-2.221839531747398E-2</v>
      </c>
      <c r="M89" s="129">
        <f t="shared" ref="M89" si="25">M88/M90</f>
        <v>-7.7704915567516726E-3</v>
      </c>
      <c r="N89" s="349"/>
      <c r="O89" s="349"/>
      <c r="P89" s="349"/>
      <c r="Q89" s="349"/>
    </row>
    <row r="90" spans="1:17" ht="16.5" customHeight="1" x14ac:dyDescent="0.3">
      <c r="A90" s="130" t="s">
        <v>269</v>
      </c>
      <c r="B90" s="130" t="s">
        <v>270</v>
      </c>
      <c r="C90" s="131"/>
      <c r="D90" s="132">
        <v>68491.600000000006</v>
      </c>
      <c r="E90" s="132">
        <v>64023.1</v>
      </c>
      <c r="F90" s="132">
        <v>67577.3</v>
      </c>
      <c r="G90" s="132">
        <v>70627.199999999997</v>
      </c>
      <c r="H90" s="132">
        <v>72703.5</v>
      </c>
      <c r="I90" s="132">
        <v>74169.873000000007</v>
      </c>
      <c r="J90" s="132">
        <v>76087.789000000004</v>
      </c>
      <c r="K90" s="132">
        <v>79138.241999999998</v>
      </c>
      <c r="L90" s="132">
        <v>81226.073000000004</v>
      </c>
      <c r="M90" s="132">
        <v>84850.873999999996</v>
      </c>
      <c r="N90" s="349"/>
      <c r="O90" s="349"/>
      <c r="P90" s="349"/>
      <c r="Q90" s="349"/>
    </row>
    <row r="91" spans="1:17" x14ac:dyDescent="0.3">
      <c r="A91" s="354"/>
      <c r="B91" s="354"/>
      <c r="D91" s="83"/>
      <c r="E91" s="83"/>
      <c r="F91" s="83"/>
      <c r="G91" s="83"/>
      <c r="H91" s="83"/>
      <c r="I91" s="362"/>
      <c r="J91" s="363"/>
      <c r="K91" s="363"/>
      <c r="L91" s="363"/>
      <c r="M91" s="363"/>
    </row>
    <row r="92" spans="1:17" x14ac:dyDescent="0.3">
      <c r="A92" s="354"/>
      <c r="B92" s="354"/>
      <c r="D92" s="83"/>
      <c r="E92" s="83"/>
      <c r="F92" s="83"/>
      <c r="G92" s="83"/>
      <c r="H92" s="83"/>
      <c r="I92" s="83"/>
      <c r="K92" s="364"/>
      <c r="L92" s="83"/>
    </row>
    <row r="93" spans="1:17" x14ac:dyDescent="0.3">
      <c r="A93" s="354"/>
      <c r="B93" s="354"/>
    </row>
  </sheetData>
  <mergeCells count="1">
    <mergeCell ref="C4:C8"/>
  </mergeCells>
  <pageMargins left="0.7" right="0.7" top="0.75" bottom="0.75" header="0.3" footer="0.3"/>
  <pageSetup paperSize="9" orientation="portrait" r:id="rId1"/>
  <ignoredErrors>
    <ignoredError sqref="D7:L8 D42:L43 D88:L8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2:O43"/>
  <sheetViews>
    <sheetView showGridLines="0" zoomScale="90" zoomScaleNormal="90" workbookViewId="0">
      <selection activeCell="C25" sqref="C25"/>
    </sheetView>
  </sheetViews>
  <sheetFormatPr defaultColWidth="9.109375" defaultRowHeight="14.4" x14ac:dyDescent="0.3"/>
  <cols>
    <col min="1" max="1" width="13.44140625" style="17" customWidth="1"/>
    <col min="2" max="2" width="11.88671875" style="17" bestFit="1" customWidth="1"/>
    <col min="3" max="3" width="94.33203125" style="17" bestFit="1" customWidth="1"/>
    <col min="4" max="4" width="12.5546875" style="17" customWidth="1"/>
    <col min="5" max="5" width="12.5546875" customWidth="1"/>
    <col min="6" max="6" width="19" style="17" bestFit="1" customWidth="1"/>
    <col min="7" max="7" width="18.109375" style="17" bestFit="1" customWidth="1"/>
    <col min="8" max="10" width="9.109375" style="17"/>
    <col min="11" max="11" width="14.6640625" style="17" customWidth="1"/>
    <col min="12" max="12" width="86" style="17" customWidth="1"/>
    <col min="13" max="13" width="9.33203125" style="17" customWidth="1"/>
    <col min="14" max="16384" width="9.109375" style="17"/>
  </cols>
  <sheetData>
    <row r="2" spans="1:15" ht="15" thickBot="1" x14ac:dyDescent="0.35">
      <c r="B2" s="5" t="s">
        <v>307</v>
      </c>
      <c r="K2" s="31"/>
      <c r="L2" s="31"/>
      <c r="M2" s="31"/>
      <c r="N2" s="31"/>
      <c r="O2" s="31"/>
    </row>
    <row r="3" spans="1:15" ht="28.2" thickBot="1" x14ac:dyDescent="0.35">
      <c r="B3" s="234"/>
      <c r="C3" s="235"/>
      <c r="D3" s="261" t="s">
        <v>322</v>
      </c>
      <c r="K3" s="31"/>
      <c r="L3" s="31"/>
      <c r="M3" s="31"/>
      <c r="N3" s="31"/>
      <c r="O3" s="31"/>
    </row>
    <row r="4" spans="1:15" ht="18" customHeight="1" x14ac:dyDescent="0.3">
      <c r="B4" s="234"/>
      <c r="C4" s="235" t="s">
        <v>1</v>
      </c>
      <c r="D4" s="261">
        <v>2017</v>
      </c>
      <c r="K4" s="31"/>
      <c r="L4" s="31"/>
      <c r="M4" s="31"/>
      <c r="N4" s="31"/>
      <c r="O4" s="31"/>
    </row>
    <row r="5" spans="1:15" x14ac:dyDescent="0.3">
      <c r="B5" s="236">
        <v>1</v>
      </c>
      <c r="C5" s="152" t="s">
        <v>2</v>
      </c>
      <c r="D5" s="398">
        <v>-0.5</v>
      </c>
      <c r="K5" s="31"/>
      <c r="L5" s="31"/>
      <c r="M5" s="31"/>
      <c r="N5" s="31"/>
      <c r="O5" s="31"/>
    </row>
    <row r="6" spans="1:15" x14ac:dyDescent="0.3">
      <c r="B6" s="236">
        <v>2</v>
      </c>
      <c r="C6" s="151" t="s">
        <v>397</v>
      </c>
      <c r="D6" s="336">
        <f>'ŠS_základné hodnotenie'!G9</f>
        <v>-0.8626693730761118</v>
      </c>
      <c r="G6" s="36"/>
      <c r="K6" s="31"/>
      <c r="L6" s="31"/>
      <c r="M6" s="31"/>
      <c r="N6" s="31"/>
      <c r="O6" s="31"/>
    </row>
    <row r="7" spans="1:15" x14ac:dyDescent="0.3">
      <c r="B7" s="236" t="s">
        <v>313</v>
      </c>
      <c r="C7" s="152" t="s">
        <v>3</v>
      </c>
      <c r="D7" s="336" t="str">
        <f>IF(D6&lt;D5,"nie","áno")</f>
        <v>nie</v>
      </c>
      <c r="G7" s="36"/>
      <c r="K7" s="31"/>
      <c r="L7" s="31"/>
      <c r="M7" s="31"/>
      <c r="N7" s="31"/>
      <c r="O7" s="31"/>
    </row>
    <row r="8" spans="1:15" x14ac:dyDescent="0.3">
      <c r="B8" s="236">
        <v>4</v>
      </c>
      <c r="C8" s="151" t="s">
        <v>398</v>
      </c>
      <c r="D8" s="336">
        <f>'ŠS_základné hodnotenie'!G11</f>
        <v>-1.4483320059933447</v>
      </c>
      <c r="G8" s="36"/>
      <c r="K8" s="31"/>
      <c r="L8" s="31"/>
      <c r="M8" s="31"/>
      <c r="N8" s="31"/>
      <c r="O8" s="31"/>
    </row>
    <row r="9" spans="1:15" x14ac:dyDescent="0.3">
      <c r="B9" s="239"/>
      <c r="C9" s="317" t="s">
        <v>4</v>
      </c>
      <c r="D9" s="302"/>
      <c r="G9" s="36"/>
      <c r="K9" s="31"/>
      <c r="L9" s="31"/>
      <c r="M9" s="31"/>
      <c r="N9" s="31"/>
      <c r="O9" s="31"/>
    </row>
    <row r="10" spans="1:15" x14ac:dyDescent="0.3">
      <c r="B10" s="237" t="s">
        <v>52</v>
      </c>
      <c r="C10" s="151" t="s">
        <v>278</v>
      </c>
      <c r="D10" s="336">
        <f>(D6-D8)</f>
        <v>0.58566263291723286</v>
      </c>
      <c r="G10" s="36"/>
      <c r="K10" s="31"/>
      <c r="L10" s="31"/>
      <c r="M10" s="31"/>
      <c r="N10" s="31"/>
      <c r="O10" s="31"/>
    </row>
    <row r="11" spans="1:15" ht="42" thickBot="1" x14ac:dyDescent="0.35">
      <c r="B11" s="300" t="s">
        <v>5</v>
      </c>
      <c r="C11" s="301" t="s">
        <v>320</v>
      </c>
      <c r="D11" s="262" t="str">
        <f>IF(D10&gt;-0.049,"V súlade*",IF(D10&gt;=-0.5,"Nevýrazná odchýlenie*","Výrazné odchýlenie*"))</f>
        <v>V súlade*</v>
      </c>
      <c r="G11" s="36"/>
      <c r="K11" s="31"/>
      <c r="L11" s="31"/>
      <c r="M11" s="31"/>
      <c r="N11" s="31"/>
      <c r="O11" s="31"/>
    </row>
    <row r="12" spans="1:15" ht="17.25" customHeight="1" x14ac:dyDescent="0.3">
      <c r="B12" s="439" t="str">
        <f>IF(D11="V súlade*"," * nevyžaduje sa posúdenie dodatočných faktorov"," * vyžaduje si celkové hodnotenie")</f>
        <v xml:space="preserve"> * nevyžaduje sa posúdenie dodatočných faktorov</v>
      </c>
      <c r="C12" s="440"/>
      <c r="D12" s="441"/>
      <c r="G12" s="36"/>
      <c r="K12" s="31"/>
      <c r="L12" s="31"/>
      <c r="M12" s="31"/>
      <c r="N12" s="31"/>
      <c r="O12" s="31"/>
    </row>
    <row r="13" spans="1:15" ht="17.25" customHeight="1" thickBot="1" x14ac:dyDescent="0.35">
      <c r="B13" s="238"/>
      <c r="C13" s="442" t="s">
        <v>6</v>
      </c>
      <c r="D13" s="443"/>
      <c r="G13" s="36"/>
      <c r="K13" s="31"/>
      <c r="L13" s="31"/>
      <c r="M13" s="31"/>
      <c r="N13" s="31"/>
      <c r="O13" s="31"/>
    </row>
    <row r="14" spans="1:15" x14ac:dyDescent="0.3">
      <c r="B14" s="236">
        <v>6</v>
      </c>
      <c r="C14" s="151" t="s">
        <v>7</v>
      </c>
      <c r="D14" s="335">
        <f>'VP_základné hodnotenie'!G32</f>
        <v>0.52580517369434676</v>
      </c>
      <c r="G14" s="36"/>
      <c r="K14" s="31"/>
      <c r="L14" s="31"/>
      <c r="M14" s="31"/>
      <c r="N14" s="31"/>
      <c r="O14" s="31"/>
    </row>
    <row r="15" spans="1:15" ht="15" thickBot="1" x14ac:dyDescent="0.35">
      <c r="A15" s="23"/>
      <c r="B15" s="432" t="s">
        <v>409</v>
      </c>
      <c r="C15" s="258" t="s">
        <v>408</v>
      </c>
      <c r="D15" s="431">
        <f>'VP_základné hodnotenie'!G34</f>
        <v>0.4477687571478241</v>
      </c>
      <c r="E15" s="169"/>
      <c r="G15" s="36"/>
      <c r="K15" s="31"/>
      <c r="L15" s="31"/>
      <c r="M15" s="31"/>
      <c r="N15" s="31"/>
      <c r="O15" s="31"/>
    </row>
    <row r="16" spans="1:15" ht="42" thickBot="1" x14ac:dyDescent="0.35">
      <c r="B16" s="300" t="s">
        <v>8</v>
      </c>
      <c r="C16" s="433" t="s">
        <v>410</v>
      </c>
      <c r="D16" s="430" t="str">
        <f>IF(D15&gt;-0.049,"V súlade*",IF(D15&gt;=-0.5,"Nevýrazné odchýlenie*","Výrazné odchýlenie*"))</f>
        <v>V súlade*</v>
      </c>
      <c r="G16" s="36"/>
      <c r="K16" s="31"/>
      <c r="L16" s="31"/>
      <c r="M16" s="31"/>
      <c r="N16" s="31"/>
      <c r="O16" s="31"/>
    </row>
    <row r="17" spans="1:15" ht="17.25" customHeight="1" x14ac:dyDescent="0.3">
      <c r="B17" s="439" t="str">
        <f>IF(D16="V súlade*"," * nevyžaduje sa posúdenie dodatočných faktorov"," * vyžaduje si celkové hodnotenie")</f>
        <v xml:space="preserve"> * nevyžaduje sa posúdenie dodatočných faktorov</v>
      </c>
      <c r="C17" s="440"/>
      <c r="D17" s="441"/>
      <c r="G17" s="36"/>
      <c r="K17" s="31"/>
      <c r="L17" s="31"/>
      <c r="M17" s="31"/>
      <c r="N17" s="31"/>
      <c r="O17" s="31"/>
    </row>
    <row r="18" spans="1:15" ht="36" customHeight="1" thickBot="1" x14ac:dyDescent="0.35">
      <c r="B18" s="399"/>
      <c r="C18" s="400" t="str">
        <f>IF(AND(D11="V súlade*",D16="V súlade*"),"Bez potreby celkového hodnotenia","Celkové hodnotenie po zohľadnení dodatočných faktorov (ak je identifikované odchýlenie pri jednom z hodnotených indikátorov dochádza k celkovému hodnoteniu")</f>
        <v>Bez potreby celkového hodnotenia</v>
      </c>
      <c r="D18" s="401"/>
      <c r="I18" s="31"/>
      <c r="J18" s="31"/>
      <c r="K18" s="31"/>
      <c r="L18" s="31"/>
      <c r="M18" s="31"/>
    </row>
    <row r="19" spans="1:15" x14ac:dyDescent="0.3">
      <c r="A19" s="52"/>
      <c r="B19" s="52"/>
      <c r="C19" s="52"/>
      <c r="D19" s="167"/>
      <c r="F19"/>
      <c r="G19"/>
      <c r="H19"/>
      <c r="I19"/>
      <c r="K19" s="31"/>
      <c r="L19" s="31"/>
      <c r="M19" s="31"/>
      <c r="N19" s="31"/>
      <c r="O19" s="31"/>
    </row>
    <row r="20" spans="1:15" x14ac:dyDescent="0.3">
      <c r="A20" s="52"/>
      <c r="B20" s="240"/>
      <c r="C20" s="444"/>
      <c r="D20" s="444"/>
      <c r="F20"/>
      <c r="G20"/>
      <c r="H20"/>
      <c r="I20"/>
    </row>
    <row r="21" spans="1:15" ht="15.6" x14ac:dyDescent="0.3">
      <c r="A21" s="52"/>
      <c r="B21" s="445" t="str">
        <f>IF(AND(C18="Bez potreby celkového hodnotenia",OR(D11="Výrazné odchýlenie*",D16="Výrazné odchýlenie*")),"POTREBA SPUSTENIA KOREKČNÉHO MECHANIZMU"," NEDOCHÁDZA K POTREBE SPUSTENIA KOREKČNÉHO MECHANIZMU")</f>
        <v xml:space="preserve"> NEDOCHÁDZA K POTREBE SPUSTENIA KOREKČNÉHO MECHANIZMU</v>
      </c>
      <c r="C21" s="445"/>
      <c r="D21" s="445"/>
      <c r="F21"/>
      <c r="G21"/>
      <c r="H21"/>
      <c r="I21"/>
    </row>
    <row r="22" spans="1:15" x14ac:dyDescent="0.3">
      <c r="A22" s="52"/>
      <c r="B22" s="241"/>
      <c r="C22" s="242"/>
      <c r="D22" s="153"/>
      <c r="F22"/>
      <c r="G22"/>
      <c r="H22"/>
      <c r="I22"/>
    </row>
    <row r="23" spans="1:15" x14ac:dyDescent="0.3">
      <c r="A23" s="52"/>
      <c r="B23" s="240"/>
      <c r="C23" s="243"/>
      <c r="D23" s="244"/>
      <c r="F23"/>
      <c r="G23"/>
      <c r="H23"/>
      <c r="I23"/>
    </row>
    <row r="24" spans="1:15" x14ac:dyDescent="0.3">
      <c r="A24" s="52"/>
      <c r="B24" s="52"/>
      <c r="C24" s="52"/>
      <c r="D24" s="52"/>
      <c r="F24"/>
      <c r="G24"/>
      <c r="H24"/>
      <c r="I24"/>
    </row>
    <row r="25" spans="1:15" x14ac:dyDescent="0.3">
      <c r="A25" s="52"/>
      <c r="B25" s="52"/>
      <c r="C25" s="52"/>
      <c r="D25" s="52"/>
      <c r="F25"/>
      <c r="G25"/>
      <c r="H25"/>
      <c r="I25"/>
    </row>
    <row r="26" spans="1:15" x14ac:dyDescent="0.3">
      <c r="A26" s="52"/>
      <c r="B26" s="52"/>
      <c r="C26" s="52"/>
      <c r="D26" s="52"/>
    </row>
    <row r="27" spans="1:15" x14ac:dyDescent="0.3">
      <c r="A27" s="52"/>
      <c r="B27" s="52"/>
      <c r="C27" s="52"/>
      <c r="D27" s="52"/>
    </row>
    <row r="28" spans="1:15" x14ac:dyDescent="0.3">
      <c r="A28" s="52"/>
      <c r="B28" s="52"/>
      <c r="C28" s="52"/>
      <c r="D28" s="52"/>
    </row>
    <row r="37" spans="4:7" x14ac:dyDescent="0.3">
      <c r="G37" s="38"/>
    </row>
    <row r="41" spans="4:7" x14ac:dyDescent="0.3">
      <c r="D41" s="39"/>
    </row>
    <row r="42" spans="4:7" x14ac:dyDescent="0.3">
      <c r="D42" s="39"/>
    </row>
    <row r="43" spans="4:7" x14ac:dyDescent="0.3">
      <c r="D43" s="39"/>
    </row>
  </sheetData>
  <mergeCells count="5">
    <mergeCell ref="B12:D12"/>
    <mergeCell ref="C13:D13"/>
    <mergeCell ref="B17:D17"/>
    <mergeCell ref="C20:D20"/>
    <mergeCell ref="B21:D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2:AE56"/>
  <sheetViews>
    <sheetView showGridLines="0" tabSelected="1" topLeftCell="A19" zoomScale="90" zoomScaleNormal="90" workbookViewId="0">
      <selection activeCell="B29" sqref="B29"/>
    </sheetView>
  </sheetViews>
  <sheetFormatPr defaultColWidth="9.109375" defaultRowHeight="13.8" x14ac:dyDescent="0.3"/>
  <cols>
    <col min="1" max="1" width="13.44140625" style="17" customWidth="1"/>
    <col min="2" max="2" width="53" style="17" customWidth="1"/>
    <col min="3" max="3" width="14.44140625" style="17" customWidth="1"/>
    <col min="4" max="5" width="10.44140625" style="17" customWidth="1"/>
    <col min="6" max="6" width="10.5546875" style="17" bestFit="1" customWidth="1"/>
    <col min="7" max="7" width="12.5546875" style="17" customWidth="1"/>
    <col min="8" max="8" width="9.109375" style="17"/>
    <col min="9" max="9" width="28.5546875" style="17" customWidth="1"/>
    <col min="10" max="16" width="9.109375" style="17"/>
    <col min="17" max="17" width="14.33203125" style="52" customWidth="1"/>
    <col min="18" max="18" width="9.109375" style="52"/>
    <col min="19" max="19" width="9.109375" style="17"/>
    <col min="20" max="20" width="22.44140625" style="17" bestFit="1" customWidth="1"/>
    <col min="21" max="16384" width="9.109375" style="17"/>
  </cols>
  <sheetData>
    <row r="2" spans="2:31" ht="15.6" x14ac:dyDescent="0.3">
      <c r="B2" s="445" t="s">
        <v>351</v>
      </c>
      <c r="C2" s="445"/>
      <c r="D2" s="445"/>
      <c r="E2" s="445"/>
      <c r="F2" s="445"/>
      <c r="G2" s="445"/>
      <c r="H2" s="445"/>
    </row>
    <row r="3" spans="2:31" ht="14.4" x14ac:dyDescent="0.3">
      <c r="K3" s="9" t="s">
        <v>55</v>
      </c>
      <c r="O3"/>
    </row>
    <row r="4" spans="2:31" ht="15" thickBot="1" x14ac:dyDescent="0.35">
      <c r="B4" s="447" t="s">
        <v>417</v>
      </c>
      <c r="C4" s="447"/>
      <c r="D4" s="447"/>
      <c r="E4" s="447"/>
      <c r="F4" s="447"/>
      <c r="G4" s="34"/>
      <c r="H4" s="34"/>
      <c r="Q4" s="321"/>
      <c r="R4" s="321"/>
    </row>
    <row r="5" spans="2:31" ht="15" thickBot="1" x14ac:dyDescent="0.35">
      <c r="B5" s="4"/>
      <c r="C5" s="148">
        <v>2013</v>
      </c>
      <c r="D5" s="148">
        <v>2014</v>
      </c>
      <c r="E5" s="207">
        <v>2015</v>
      </c>
      <c r="F5" s="208">
        <v>2016</v>
      </c>
      <c r="G5" s="208">
        <v>2017</v>
      </c>
      <c r="Q5" s="230"/>
      <c r="R5" s="230"/>
      <c r="Y5" s="368" t="s">
        <v>357</v>
      </c>
      <c r="Z5" s="372">
        <v>2015</v>
      </c>
      <c r="AA5" s="372">
        <v>2016</v>
      </c>
      <c r="AB5" s="372">
        <v>2017</v>
      </c>
      <c r="AC5" s="372">
        <v>2018</v>
      </c>
      <c r="AD5" s="372">
        <v>2019</v>
      </c>
      <c r="AE5" s="373"/>
    </row>
    <row r="6" spans="2:31" x14ac:dyDescent="0.3">
      <c r="B6" s="40" t="s">
        <v>9</v>
      </c>
      <c r="C6" s="41">
        <f>(ESA2010_source!I8-ESA2010_source!I43)*100</f>
        <v>-2.7199884783407957</v>
      </c>
      <c r="D6" s="41">
        <f>(ESA2010_source!J8-ESA2010_source!J43)*100</f>
        <v>-2.7022943195260885</v>
      </c>
      <c r="E6" s="409">
        <f>(ESA2010_source!K8-ESA2010_source!K43)*100</f>
        <v>-2.5612636176578221</v>
      </c>
      <c r="F6" s="312">
        <f>(ESA2010_source!L8-ESA2010_source!L43)*100</f>
        <v>-2.2218395317473938</v>
      </c>
      <c r="G6" s="312">
        <f>(ESA2010_source!M8-ESA2010_source!M43)*100</f>
        <v>-0.76739457038474956</v>
      </c>
      <c r="H6" s="36"/>
      <c r="Q6" s="319"/>
      <c r="R6" s="319"/>
      <c r="Y6" s="369" t="s">
        <v>358</v>
      </c>
      <c r="Z6" s="374">
        <f>E9</f>
        <v>-2.3966640119866889</v>
      </c>
      <c r="AA6" s="374">
        <f>Z6+D19</f>
        <v>-1.9224980089900168</v>
      </c>
      <c r="AB6" s="374">
        <f>AA6+E19</f>
        <v>-1.4483320059933447</v>
      </c>
      <c r="AC6" s="374">
        <f>AB6+F19</f>
        <v>-0.97416600299667244</v>
      </c>
      <c r="AD6" s="374">
        <f>AC6+G19</f>
        <v>-0.50000000000000022</v>
      </c>
      <c r="AE6" s="374">
        <f>Z6-0.5</f>
        <v>-2.8966640119866889</v>
      </c>
    </row>
    <row r="7" spans="2:31" ht="14.4" x14ac:dyDescent="0.3">
      <c r="B7" s="42" t="s">
        <v>10</v>
      </c>
      <c r="C7" s="337">
        <v>-0.46457985000000002</v>
      </c>
      <c r="D7" s="337">
        <v>-0.39234584300000003</v>
      </c>
      <c r="E7" s="313">
        <v>-0.172635654</v>
      </c>
      <c r="F7" s="338">
        <v>-0.1565327</v>
      </c>
      <c r="G7" s="338">
        <v>9.2435400000000001E-2</v>
      </c>
      <c r="Q7" s="320"/>
      <c r="R7" s="320"/>
      <c r="Y7" s="370" t="s">
        <v>359</v>
      </c>
      <c r="Z7" s="374">
        <f>$AE$6-(Z6+0.5)</f>
        <v>-1</v>
      </c>
      <c r="AA7" s="374">
        <f>$AE$6-(AA6+0.5)</f>
        <v>-1.4741660029966721</v>
      </c>
      <c r="AB7" s="374">
        <f>$AE$6-(AB6+0.5)</f>
        <v>-1.9483320059933442</v>
      </c>
      <c r="AC7" s="374">
        <f>$AE$6-(AC6+0.5)</f>
        <v>-2.4224980089900163</v>
      </c>
      <c r="AD7" s="374">
        <f>$AE$6-(AD6+0.5)</f>
        <v>-2.8966640119866884</v>
      </c>
      <c r="AE7" s="376"/>
    </row>
    <row r="8" spans="2:31" ht="14.4" x14ac:dyDescent="0.3">
      <c r="B8" s="42" t="s">
        <v>11</v>
      </c>
      <c r="C8" s="43">
        <f>'One-offs'!D14</f>
        <v>0.20657515065448706</v>
      </c>
      <c r="D8" s="43">
        <f>'One-offs'!E14</f>
        <v>0.26640662174367535</v>
      </c>
      <c r="E8" s="313">
        <f>'One-offs'!F14</f>
        <v>8.0360483288666289E-3</v>
      </c>
      <c r="F8" s="338">
        <f>'One-offs'!G14</f>
        <v>-0.14251116165618372</v>
      </c>
      <c r="G8" s="338">
        <f>'One-offs'!H14</f>
        <v>2.8394026913622357E-3</v>
      </c>
      <c r="H8" s="36"/>
      <c r="Q8" s="320"/>
      <c r="R8" s="320"/>
      <c r="Y8" s="369" t="s">
        <v>360</v>
      </c>
      <c r="Z8" s="377">
        <v>-0.5</v>
      </c>
      <c r="AA8" s="377">
        <v>-0.5</v>
      </c>
      <c r="AB8" s="377">
        <v>-0.5</v>
      </c>
      <c r="AC8" s="377">
        <v>-0.5</v>
      </c>
      <c r="AD8" s="377">
        <v>-0.5</v>
      </c>
      <c r="AE8" s="376"/>
    </row>
    <row r="9" spans="2:31" ht="15" thickBot="1" x14ac:dyDescent="0.35">
      <c r="B9" s="44" t="s">
        <v>12</v>
      </c>
      <c r="C9" s="45">
        <f>C6-C7-C8</f>
        <v>-2.4619837789952825</v>
      </c>
      <c r="D9" s="45">
        <f>D6-D7-D8</f>
        <v>-2.5763550982697634</v>
      </c>
      <c r="E9" s="314">
        <f>E6-E7-E8</f>
        <v>-2.3966640119866889</v>
      </c>
      <c r="F9" s="312">
        <f>F6-F7-F8</f>
        <v>-1.9227956700912099</v>
      </c>
      <c r="G9" s="312">
        <f>G6-G7-G8</f>
        <v>-0.8626693730761118</v>
      </c>
      <c r="Q9" s="319"/>
      <c r="R9" s="319"/>
      <c r="Y9" s="371"/>
      <c r="Z9" s="375"/>
      <c r="AA9" s="375"/>
      <c r="AB9" s="375"/>
      <c r="AC9" s="375"/>
      <c r="AD9" s="375"/>
      <c r="AE9" s="376"/>
    </row>
    <row r="10" spans="2:31" ht="15" thickBot="1" x14ac:dyDescent="0.35">
      <c r="B10" s="268" t="s">
        <v>13</v>
      </c>
      <c r="C10" s="209">
        <v>0.57431522311051098</v>
      </c>
      <c r="D10" s="209">
        <f>D9-C9</f>
        <v>-0.11437131927448085</v>
      </c>
      <c r="E10" s="315">
        <f>E9-D9</f>
        <v>0.17969108628307451</v>
      </c>
      <c r="F10" s="316">
        <f>F9-E9</f>
        <v>0.47386834189547899</v>
      </c>
      <c r="G10" s="316">
        <f>G9-F9</f>
        <v>1.0601262970150982</v>
      </c>
      <c r="I10"/>
      <c r="J10"/>
      <c r="K10"/>
      <c r="L10"/>
      <c r="M10"/>
      <c r="Q10" s="319"/>
      <c r="R10" s="319"/>
      <c r="Y10" s="371"/>
      <c r="Z10" s="375"/>
      <c r="AA10" s="375"/>
      <c r="AB10" s="375"/>
      <c r="AC10" s="375"/>
      <c r="AD10" s="375"/>
      <c r="AE10" s="377"/>
    </row>
    <row r="11" spans="2:31" ht="14.4" x14ac:dyDescent="0.3">
      <c r="B11" s="42" t="s">
        <v>312</v>
      </c>
      <c r="C11" s="43"/>
      <c r="D11" s="43"/>
      <c r="E11" s="43"/>
      <c r="F11" s="43">
        <f>D18</f>
        <v>-1.9224980089900168</v>
      </c>
      <c r="G11" s="43">
        <f>E18</f>
        <v>-1.4483320059933447</v>
      </c>
      <c r="H11" s="20"/>
      <c r="I11"/>
      <c r="J11"/>
      <c r="K11"/>
      <c r="L11"/>
      <c r="M11"/>
      <c r="O11" s="23"/>
      <c r="P11" s="23"/>
      <c r="R11" s="319"/>
    </row>
    <row r="12" spans="2:31" ht="14.4" x14ac:dyDescent="0.3">
      <c r="B12" s="269" t="s">
        <v>311</v>
      </c>
      <c r="C12" s="270"/>
      <c r="D12" s="271"/>
      <c r="E12" s="270"/>
      <c r="F12" s="270">
        <f>F9-F11</f>
        <v>-2.9766110119311406E-4</v>
      </c>
      <c r="G12" s="270">
        <f>G9-G11</f>
        <v>0.58566263291723286</v>
      </c>
      <c r="I12"/>
      <c r="J12"/>
      <c r="K12"/>
      <c r="L12"/>
      <c r="M12"/>
      <c r="O12" s="23"/>
      <c r="P12" s="23"/>
      <c r="R12" s="319"/>
    </row>
    <row r="13" spans="2:31" ht="23.4" customHeight="1" x14ac:dyDescent="0.3">
      <c r="B13" s="448" t="s">
        <v>319</v>
      </c>
      <c r="C13" s="448"/>
      <c r="D13" s="448"/>
      <c r="F13" s="397"/>
      <c r="G13" s="397" t="s">
        <v>22</v>
      </c>
      <c r="R13" s="322"/>
    </row>
    <row r="15" spans="2:31" x14ac:dyDescent="0.3">
      <c r="H15" s="9"/>
    </row>
    <row r="16" spans="2:31" ht="14.4" thickBot="1" x14ac:dyDescent="0.35">
      <c r="B16" s="33" t="s">
        <v>418</v>
      </c>
      <c r="C16" s="33"/>
      <c r="D16" s="150"/>
      <c r="E16" s="150"/>
      <c r="F16" s="150"/>
      <c r="G16" s="21"/>
    </row>
    <row r="17" spans="2:17" ht="41.4" x14ac:dyDescent="0.3">
      <c r="B17" s="48"/>
      <c r="C17" s="14" t="s">
        <v>300</v>
      </c>
      <c r="D17" s="14">
        <v>2016</v>
      </c>
      <c r="E17" s="14">
        <v>2017</v>
      </c>
      <c r="F17" s="14">
        <v>2018</v>
      </c>
      <c r="G17" s="14" t="s">
        <v>301</v>
      </c>
    </row>
    <row r="18" spans="2:17" x14ac:dyDescent="0.3">
      <c r="B18" s="42" t="s">
        <v>274</v>
      </c>
      <c r="C18" s="339">
        <f>E9</f>
        <v>-2.3966640119866889</v>
      </c>
      <c r="D18" s="43">
        <f>C18+D19</f>
        <v>-1.9224980089900168</v>
      </c>
      <c r="E18" s="43">
        <f t="shared" ref="E18:F18" si="0">D18+E19</f>
        <v>-1.4483320059933447</v>
      </c>
      <c r="F18" s="43">
        <f t="shared" si="0"/>
        <v>-0.97416600299667244</v>
      </c>
      <c r="G18" s="340">
        <v>-0.5</v>
      </c>
      <c r="Q18" s="149" t="s">
        <v>22</v>
      </c>
    </row>
    <row r="19" spans="2:17" ht="14.4" thickBot="1" x14ac:dyDescent="0.35">
      <c r="B19" s="166" t="s">
        <v>281</v>
      </c>
      <c r="C19" s="341"/>
      <c r="D19" s="341">
        <f>($C$18-$G$18)/4*-1</f>
        <v>0.47416600299667222</v>
      </c>
      <c r="E19" s="341">
        <f>($C$18-$G$18)/4*-1</f>
        <v>0.47416600299667222</v>
      </c>
      <c r="F19" s="341">
        <f>($C$18-$G$18)/4*-1</f>
        <v>0.47416600299667222</v>
      </c>
      <c r="G19" s="341">
        <f>($C$18-$G$18)/4*-1</f>
        <v>0.47416600299667222</v>
      </c>
      <c r="H19" s="39"/>
      <c r="K19" s="9"/>
    </row>
    <row r="20" spans="2:17" x14ac:dyDescent="0.3">
      <c r="G20" s="149" t="s">
        <v>22</v>
      </c>
    </row>
    <row r="22" spans="2:17" x14ac:dyDescent="0.3">
      <c r="B22" s="307" t="s">
        <v>419</v>
      </c>
      <c r="C22" s="52"/>
      <c r="D22" s="37"/>
      <c r="E22" s="37"/>
    </row>
    <row r="23" spans="2:17" x14ac:dyDescent="0.3">
      <c r="B23" s="308" t="s">
        <v>36</v>
      </c>
      <c r="C23" s="309" t="s">
        <v>326</v>
      </c>
      <c r="D23" s="308" t="s">
        <v>327</v>
      </c>
      <c r="E23" s="310" t="s">
        <v>328</v>
      </c>
      <c r="J23" s="319"/>
      <c r="K23" s="319"/>
      <c r="L23" s="319"/>
      <c r="M23" s="319"/>
    </row>
    <row r="24" spans="2:17" x14ac:dyDescent="0.3">
      <c r="B24" s="17" t="s">
        <v>334</v>
      </c>
      <c r="C24" s="323">
        <v>-1.1319412514910507</v>
      </c>
      <c r="D24" s="323">
        <f>G9</f>
        <v>-0.8626693730761118</v>
      </c>
      <c r="E24" s="311">
        <f>D24-C24</f>
        <v>0.26927187841493894</v>
      </c>
    </row>
    <row r="25" spans="2:17" x14ac:dyDescent="0.3">
      <c r="B25" s="258" t="s">
        <v>335</v>
      </c>
      <c r="C25" s="324">
        <v>0.40051936876858663</v>
      </c>
      <c r="D25" s="324">
        <f>G12</f>
        <v>0.58566263291723286</v>
      </c>
      <c r="E25" s="324">
        <f>D25-C25</f>
        <v>0.18514326414864624</v>
      </c>
    </row>
    <row r="26" spans="2:17" x14ac:dyDescent="0.3">
      <c r="E26" s="318" t="s">
        <v>22</v>
      </c>
    </row>
    <row r="27" spans="2:17" x14ac:dyDescent="0.3">
      <c r="L27" s="446"/>
      <c r="M27" s="446"/>
    </row>
    <row r="30" spans="2:17" x14ac:dyDescent="0.3">
      <c r="F30" s="332"/>
    </row>
    <row r="31" spans="2:17" x14ac:dyDescent="0.3">
      <c r="B31" s="40"/>
      <c r="C31" s="46"/>
      <c r="D31" s="47"/>
      <c r="E31" s="47"/>
      <c r="F31" s="332"/>
      <c r="H31" s="332"/>
    </row>
    <row r="32" spans="2:17" x14ac:dyDescent="0.3">
      <c r="B32" s="9" t="s">
        <v>336</v>
      </c>
      <c r="F32" s="332"/>
    </row>
    <row r="33" spans="2:17" ht="14.4" x14ac:dyDescent="0.3">
      <c r="B33" s="178"/>
      <c r="C33" s="327" t="s">
        <v>326</v>
      </c>
      <c r="D33" s="327" t="s">
        <v>327</v>
      </c>
      <c r="E33" s="328" t="s">
        <v>321</v>
      </c>
      <c r="H33"/>
      <c r="I33"/>
      <c r="J33"/>
      <c r="K33"/>
      <c r="L33"/>
      <c r="M33"/>
      <c r="N33"/>
      <c r="O33"/>
      <c r="P33"/>
      <c r="Q33" s="246" t="s">
        <v>22</v>
      </c>
    </row>
    <row r="34" spans="2:17" ht="14.4" x14ac:dyDescent="0.3">
      <c r="B34" s="40" t="s">
        <v>337</v>
      </c>
      <c r="C34" s="326">
        <v>-1.0407271892731662</v>
      </c>
      <c r="D34" s="326">
        <f>G6</f>
        <v>-0.76739457038474956</v>
      </c>
      <c r="E34" s="325">
        <f>D34-C34</f>
        <v>0.27333261888841665</v>
      </c>
      <c r="J34"/>
      <c r="K34" s="9" t="s">
        <v>413</v>
      </c>
      <c r="L34"/>
      <c r="M34"/>
      <c r="N34"/>
      <c r="O34"/>
      <c r="P34"/>
    </row>
    <row r="35" spans="2:17" x14ac:dyDescent="0.3">
      <c r="B35" s="42" t="s">
        <v>329</v>
      </c>
      <c r="C35" s="326">
        <v>0.10616164273285249</v>
      </c>
      <c r="D35" s="326">
        <f t="shared" ref="D35:D37" si="1">G7</f>
        <v>9.2435400000000001E-2</v>
      </c>
      <c r="E35" s="325">
        <f>(D35-C35)*-1</f>
        <v>1.3726242732852487E-2</v>
      </c>
      <c r="J35" s="20"/>
    </row>
    <row r="36" spans="2:17" x14ac:dyDescent="0.3">
      <c r="B36" s="329" t="s">
        <v>330</v>
      </c>
      <c r="C36" s="330">
        <v>-1.4947580514967834E-2</v>
      </c>
      <c r="D36" s="330">
        <f t="shared" si="1"/>
        <v>2.8394026913622357E-3</v>
      </c>
      <c r="E36" s="331">
        <f>(D36-C36)*-1</f>
        <v>-1.778698320633007E-2</v>
      </c>
    </row>
    <row r="37" spans="2:17" x14ac:dyDescent="0.3">
      <c r="B37" s="44" t="s">
        <v>36</v>
      </c>
      <c r="C37" s="326">
        <v>-1.1319412514910507</v>
      </c>
      <c r="D37" s="326">
        <f t="shared" si="1"/>
        <v>-0.8626693730761118</v>
      </c>
      <c r="E37" s="325">
        <f>D37-C37</f>
        <v>0.26927187841493894</v>
      </c>
    </row>
    <row r="38" spans="2:17" x14ac:dyDescent="0.3">
      <c r="C38" s="320"/>
      <c r="D38" s="320"/>
      <c r="E38" s="37"/>
      <c r="F38" s="325"/>
    </row>
    <row r="39" spans="2:17" x14ac:dyDescent="0.3">
      <c r="F39" s="20"/>
    </row>
    <row r="40" spans="2:17" x14ac:dyDescent="0.3">
      <c r="F40" s="20"/>
    </row>
    <row r="41" spans="2:17" x14ac:dyDescent="0.3">
      <c r="F41" s="20"/>
    </row>
    <row r="42" spans="2:17" ht="14.4" x14ac:dyDescent="0.3">
      <c r="B42"/>
      <c r="C42"/>
      <c r="D42"/>
      <c r="E42"/>
    </row>
    <row r="44" spans="2:17" ht="15.6" x14ac:dyDescent="0.3">
      <c r="B44" s="445" t="s">
        <v>308</v>
      </c>
      <c r="C44" s="445"/>
      <c r="D44" s="445"/>
      <c r="E44" s="445"/>
      <c r="F44" s="445"/>
      <c r="G44" s="445"/>
      <c r="H44" s="445"/>
    </row>
    <row r="47" spans="2:17" ht="15.6" x14ac:dyDescent="0.3">
      <c r="B47" s="445" t="str">
        <f>IF(G12&gt;-0.0499,"Nie je identifikované ochýlenie",IF(G12&gt;=-0.5,"Nevýrazné odchýlenie*","Výrazné odchýlenie"))</f>
        <v>Nie je identifikované ochýlenie</v>
      </c>
      <c r="C47" s="445"/>
      <c r="D47" s="445"/>
      <c r="E47" s="445"/>
      <c r="F47" s="445"/>
      <c r="G47" s="445"/>
      <c r="H47" s="445"/>
    </row>
    <row r="48" spans="2:17" x14ac:dyDescent="0.3">
      <c r="Q48" s="318" t="s">
        <v>22</v>
      </c>
    </row>
    <row r="50" spans="2:5" ht="14.4" x14ac:dyDescent="0.3">
      <c r="B50"/>
      <c r="C50"/>
      <c r="D50"/>
      <c r="E50"/>
    </row>
    <row r="51" spans="2:5" ht="14.4" x14ac:dyDescent="0.3">
      <c r="E51"/>
    </row>
    <row r="52" spans="2:5" ht="14.4" x14ac:dyDescent="0.3">
      <c r="E52"/>
    </row>
    <row r="53" spans="2:5" ht="14.4" x14ac:dyDescent="0.3">
      <c r="E53"/>
    </row>
    <row r="54" spans="2:5" ht="14.4" x14ac:dyDescent="0.3">
      <c r="E54"/>
    </row>
    <row r="55" spans="2:5" ht="14.4" x14ac:dyDescent="0.3">
      <c r="E55"/>
    </row>
    <row r="56" spans="2:5" ht="14.4" x14ac:dyDescent="0.3">
      <c r="B56"/>
      <c r="C56"/>
      <c r="D56"/>
      <c r="E56"/>
    </row>
  </sheetData>
  <mergeCells count="6">
    <mergeCell ref="B2:H2"/>
    <mergeCell ref="B47:H47"/>
    <mergeCell ref="B44:H44"/>
    <mergeCell ref="L27:M27"/>
    <mergeCell ref="B4:F4"/>
    <mergeCell ref="B13:D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rgb="FFFFFF00"/>
  </sheetPr>
  <dimension ref="B2:R23"/>
  <sheetViews>
    <sheetView showGridLines="0" zoomScale="90" zoomScaleNormal="90" workbookViewId="0">
      <selection activeCell="D22" sqref="D22"/>
    </sheetView>
  </sheetViews>
  <sheetFormatPr defaultColWidth="9.109375" defaultRowHeight="13.8" x14ac:dyDescent="0.3"/>
  <cols>
    <col min="1" max="1" width="15.109375" style="17" customWidth="1"/>
    <col min="2" max="2" width="64.5546875" style="17" customWidth="1"/>
    <col min="3" max="3" width="10.88671875" style="17" customWidth="1"/>
    <col min="4" max="4" width="9.6640625" style="17" customWidth="1"/>
    <col min="5" max="5" width="9.5546875" style="17" bestFit="1" customWidth="1"/>
    <col min="6" max="7" width="9.33203125" style="17" bestFit="1" customWidth="1"/>
    <col min="8" max="8" width="7" style="17" customWidth="1"/>
    <col min="9" max="16384" width="9.109375" style="17"/>
  </cols>
  <sheetData>
    <row r="2" spans="2:18" ht="17.25" customHeight="1" x14ac:dyDescent="0.3">
      <c r="E2"/>
      <c r="F2"/>
    </row>
    <row r="3" spans="2:18" ht="15.6" x14ac:dyDescent="0.3">
      <c r="B3" s="445" t="s">
        <v>304</v>
      </c>
      <c r="C3" s="445"/>
      <c r="D3" s="445"/>
      <c r="E3"/>
      <c r="F3"/>
      <c r="G3"/>
      <c r="H3"/>
    </row>
    <row r="4" spans="2:18" ht="14.4" x14ac:dyDescent="0.3">
      <c r="E4"/>
      <c r="F4"/>
    </row>
    <row r="5" spans="2:18" ht="15.75" customHeight="1" thickBot="1" x14ac:dyDescent="0.35">
      <c r="B5" s="447" t="s">
        <v>349</v>
      </c>
      <c r="C5" s="447"/>
      <c r="D5" s="447"/>
      <c r="E5"/>
      <c r="F5"/>
      <c r="H5"/>
      <c r="I5"/>
      <c r="J5"/>
      <c r="K5"/>
      <c r="L5"/>
      <c r="M5"/>
      <c r="N5"/>
      <c r="O5"/>
      <c r="P5"/>
      <c r="Q5"/>
      <c r="R5"/>
    </row>
    <row r="6" spans="2:18" ht="14.4" x14ac:dyDescent="0.3">
      <c r="B6" s="232"/>
      <c r="C6" s="233"/>
      <c r="D6" s="233">
        <v>2016</v>
      </c>
      <c r="E6"/>
      <c r="F6"/>
    </row>
    <row r="7" spans="2:18" ht="14.4" x14ac:dyDescent="0.3">
      <c r="B7" s="173" t="s">
        <v>316</v>
      </c>
      <c r="C7" s="265"/>
      <c r="D7" s="266">
        <f>'ŠS_základné hodnotenie'!F12</f>
        <v>-2.9766110119311406E-4</v>
      </c>
      <c r="E7"/>
      <c r="F7"/>
    </row>
    <row r="8" spans="2:18" ht="14.4" x14ac:dyDescent="0.3">
      <c r="B8" s="61" t="s">
        <v>23</v>
      </c>
      <c r="C8" s="154"/>
      <c r="D8" s="259">
        <f>SUM(D9)</f>
        <v>0</v>
      </c>
      <c r="E8"/>
      <c r="F8"/>
      <c r="G8"/>
    </row>
    <row r="9" spans="2:18" ht="14.4" x14ac:dyDescent="0.3">
      <c r="B9" s="67" t="str">
        <f>"- z toho: "&amp;$B$21</f>
        <v>- z toho: Aktualizácia vývoja daňových príjmov podľa VpDP</v>
      </c>
      <c r="C9" s="155"/>
      <c r="D9" s="259">
        <f>D22</f>
        <v>0</v>
      </c>
      <c r="E9"/>
      <c r="F9"/>
    </row>
    <row r="10" spans="2:18" ht="13.5" customHeight="1" x14ac:dyDescent="0.3">
      <c r="B10" s="272" t="s">
        <v>317</v>
      </c>
      <c r="C10" s="273"/>
      <c r="D10" s="276">
        <f>D7+D8</f>
        <v>-2.9766110119311406E-4</v>
      </c>
      <c r="E10"/>
      <c r="F10"/>
    </row>
    <row r="11" spans="2:18" s="267" customFormat="1" ht="14.4" x14ac:dyDescent="0.3">
      <c r="B11" s="274" t="s">
        <v>315</v>
      </c>
      <c r="C11" s="275"/>
      <c r="D11" s="277" t="str">
        <f>IF(D10&gt;=0,"áno","nie")</f>
        <v>nie</v>
      </c>
      <c r="F11"/>
    </row>
    <row r="12" spans="2:18" ht="14.4" x14ac:dyDescent="0.3">
      <c r="B12" s="278" t="s">
        <v>318</v>
      </c>
      <c r="D12" s="17" t="s">
        <v>22</v>
      </c>
      <c r="E12"/>
      <c r="F12"/>
    </row>
    <row r="13" spans="2:18" x14ac:dyDescent="0.3">
      <c r="E13" s="156"/>
      <c r="F13" s="156"/>
    </row>
    <row r="14" spans="2:18" x14ac:dyDescent="0.3">
      <c r="E14" s="230"/>
      <c r="F14" s="230"/>
      <c r="G14" s="230"/>
    </row>
    <row r="15" spans="2:18" x14ac:dyDescent="0.3">
      <c r="E15" s="230"/>
      <c r="F15" s="230"/>
      <c r="G15" s="230"/>
    </row>
    <row r="16" spans="2:18" x14ac:dyDescent="0.3">
      <c r="E16" s="230"/>
      <c r="F16" s="230"/>
      <c r="G16" s="230"/>
    </row>
    <row r="17" spans="2:12" x14ac:dyDescent="0.3">
      <c r="E17" s="23"/>
      <c r="F17" s="304"/>
      <c r="G17" s="163"/>
    </row>
    <row r="18" spans="2:12" x14ac:dyDescent="0.3">
      <c r="B18" s="449" t="s">
        <v>325</v>
      </c>
      <c r="C18" s="449"/>
      <c r="D18" s="449"/>
      <c r="H18" s="49"/>
    </row>
    <row r="19" spans="2:12" x14ac:dyDescent="0.3">
      <c r="B19" s="291" t="s">
        <v>50</v>
      </c>
      <c r="C19" s="230" t="s">
        <v>51</v>
      </c>
      <c r="D19" s="292" t="s">
        <v>272</v>
      </c>
      <c r="E19" s="164"/>
      <c r="F19" s="164"/>
      <c r="G19" s="164"/>
    </row>
    <row r="20" spans="2:12" x14ac:dyDescent="0.3">
      <c r="B20" s="293"/>
      <c r="C20" s="294">
        <v>2015</v>
      </c>
      <c r="D20" s="295">
        <v>2016</v>
      </c>
      <c r="H20" s="165"/>
      <c r="I20" s="165"/>
      <c r="J20" s="165"/>
      <c r="K20" s="165"/>
      <c r="L20" s="165"/>
    </row>
    <row r="21" spans="2:12" x14ac:dyDescent="0.3">
      <c r="B21" s="172" t="s">
        <v>324</v>
      </c>
      <c r="C21" s="163"/>
      <c r="D21" s="303"/>
      <c r="E21" s="49"/>
      <c r="F21" s="49"/>
      <c r="G21" s="49"/>
    </row>
    <row r="22" spans="2:12" x14ac:dyDescent="0.3">
      <c r="B22" s="296" t="s">
        <v>1</v>
      </c>
      <c r="C22" s="297"/>
      <c r="D22" s="298">
        <f>D21/1000/ESA2010_source!L90*100</f>
        <v>0</v>
      </c>
    </row>
    <row r="23" spans="2:12" x14ac:dyDescent="0.3">
      <c r="B23" s="23"/>
      <c r="C23" s="23"/>
      <c r="D23" s="299" t="s">
        <v>323</v>
      </c>
      <c r="G23" s="165"/>
    </row>
  </sheetData>
  <mergeCells count="3">
    <mergeCell ref="B18:D18"/>
    <mergeCell ref="B5:D5"/>
    <mergeCell ref="B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AA51"/>
  <sheetViews>
    <sheetView showGridLines="0" zoomScale="90" zoomScaleNormal="90" workbookViewId="0">
      <selection activeCell="I32" sqref="I32"/>
    </sheetView>
  </sheetViews>
  <sheetFormatPr defaultColWidth="9.109375" defaultRowHeight="14.4" x14ac:dyDescent="0.3"/>
  <cols>
    <col min="1" max="1" width="11.88671875" style="17" customWidth="1"/>
    <col min="2" max="2" width="71.6640625" style="17" customWidth="1"/>
    <col min="3" max="3" width="8.44140625" style="23" hidden="1" customWidth="1"/>
    <col min="4" max="4" width="8.44140625" style="17" hidden="1" customWidth="1"/>
    <col min="5" max="7" width="8.44140625" style="17" customWidth="1"/>
    <col min="8" max="8" width="9.5546875" customWidth="1"/>
    <col min="9" max="9" width="10.6640625" style="17" customWidth="1"/>
    <col min="10" max="10" width="18.109375" style="17" customWidth="1"/>
    <col min="11" max="11" width="10.5546875" style="17" bestFit="1" customWidth="1"/>
    <col min="12" max="14" width="8.88671875" style="17" customWidth="1"/>
    <col min="15" max="15" width="9.77734375" style="17" bestFit="1" customWidth="1"/>
    <col min="16" max="16" width="10.33203125" style="17" customWidth="1"/>
    <col min="17" max="17" width="10.33203125" style="17" bestFit="1" customWidth="1"/>
    <col min="18" max="18" width="11" style="17" customWidth="1"/>
    <col min="19" max="20" width="9.33203125" style="17" bestFit="1" customWidth="1"/>
    <col min="21" max="16384" width="9.109375" style="17"/>
  </cols>
  <sheetData>
    <row r="1" spans="2:22" x14ac:dyDescent="0.3">
      <c r="I1"/>
      <c r="J1"/>
      <c r="K1"/>
      <c r="L1"/>
      <c r="M1"/>
      <c r="N1"/>
      <c r="O1"/>
      <c r="P1"/>
      <c r="Q1"/>
      <c r="R1"/>
      <c r="S1"/>
      <c r="T1"/>
    </row>
    <row r="2" spans="2:22" x14ac:dyDescent="0.3">
      <c r="I2"/>
      <c r="J2"/>
      <c r="K2"/>
      <c r="L2"/>
      <c r="M2"/>
      <c r="N2"/>
      <c r="O2"/>
      <c r="P2"/>
      <c r="Q2"/>
      <c r="R2"/>
      <c r="S2"/>
      <c r="T2"/>
    </row>
    <row r="3" spans="2:22" ht="15.6" x14ac:dyDescent="0.3">
      <c r="B3" s="445" t="s">
        <v>305</v>
      </c>
      <c r="C3" s="445"/>
      <c r="D3" s="445"/>
      <c r="E3" s="445"/>
      <c r="F3" s="445"/>
      <c r="G3" s="343"/>
      <c r="I3"/>
      <c r="J3"/>
      <c r="K3"/>
      <c r="L3"/>
      <c r="M3"/>
      <c r="N3"/>
      <c r="O3"/>
      <c r="P3"/>
      <c r="Q3"/>
      <c r="R3"/>
      <c r="S3"/>
      <c r="T3"/>
    </row>
    <row r="4" spans="2:22" x14ac:dyDescent="0.3">
      <c r="I4"/>
      <c r="J4"/>
      <c r="K4"/>
      <c r="Q4"/>
      <c r="R4"/>
      <c r="S4"/>
      <c r="T4"/>
      <c r="U4" s="52"/>
      <c r="V4" s="52"/>
    </row>
    <row r="5" spans="2:22" ht="15" thickBot="1" x14ac:dyDescent="0.35">
      <c r="B5" s="12" t="s">
        <v>421</v>
      </c>
      <c r="C5" s="55"/>
      <c r="D5" s="55"/>
      <c r="E5" s="55"/>
      <c r="F5" s="55"/>
      <c r="G5" s="367"/>
      <c r="I5" s="9" t="s">
        <v>423</v>
      </c>
      <c r="P5" s="9" t="s">
        <v>338</v>
      </c>
      <c r="V5" s="50"/>
    </row>
    <row r="6" spans="2:22" x14ac:dyDescent="0.3">
      <c r="B6" s="56"/>
      <c r="C6" s="10">
        <v>2013</v>
      </c>
      <c r="D6" s="11">
        <v>2014</v>
      </c>
      <c r="E6" s="11">
        <v>2015</v>
      </c>
      <c r="F6" s="11">
        <v>2016</v>
      </c>
      <c r="G6" s="196">
        <v>2017</v>
      </c>
      <c r="I6" s="178"/>
      <c r="J6" s="178"/>
      <c r="K6" s="178"/>
      <c r="L6" s="178"/>
      <c r="M6" s="345" t="s">
        <v>326</v>
      </c>
      <c r="N6" s="345" t="s">
        <v>327</v>
      </c>
      <c r="P6" s="178"/>
      <c r="Q6" s="178"/>
      <c r="R6" s="178"/>
      <c r="S6" s="178"/>
      <c r="T6" s="345" t="s">
        <v>326</v>
      </c>
      <c r="U6" s="345" t="s">
        <v>327</v>
      </c>
      <c r="V6" s="51"/>
    </row>
    <row r="7" spans="2:22" x14ac:dyDescent="0.3">
      <c r="B7" s="1" t="s">
        <v>282</v>
      </c>
      <c r="C7" s="57"/>
      <c r="D7" s="57"/>
      <c r="E7" s="57"/>
      <c r="F7" s="57"/>
      <c r="G7" s="197"/>
      <c r="I7" s="22" t="s">
        <v>333</v>
      </c>
      <c r="M7" s="346">
        <v>0.20510230243651301</v>
      </c>
      <c r="N7" s="346">
        <f>G32</f>
        <v>0.52580517369434676</v>
      </c>
      <c r="O7"/>
      <c r="P7" s="22" t="s">
        <v>411</v>
      </c>
      <c r="T7" s="346">
        <v>6.6678298557130949E-2</v>
      </c>
      <c r="U7" s="346">
        <f>G34</f>
        <v>0.4477687571478241</v>
      </c>
      <c r="V7" s="52"/>
    </row>
    <row r="8" spans="2:22" x14ac:dyDescent="0.3">
      <c r="B8" s="58" t="s">
        <v>404</v>
      </c>
      <c r="C8" s="141">
        <v>2.08</v>
      </c>
      <c r="D8" s="141">
        <v>2.3498255635582277</v>
      </c>
      <c r="E8" s="141">
        <v>3.1173372071211958</v>
      </c>
      <c r="F8" s="141">
        <v>2.9443598319073727</v>
      </c>
      <c r="G8" s="198">
        <v>3.0485211948110491</v>
      </c>
      <c r="O8"/>
      <c r="V8" s="52"/>
    </row>
    <row r="9" spans="2:22" x14ac:dyDescent="0.3">
      <c r="B9" s="58" t="s">
        <v>283</v>
      </c>
      <c r="C9" s="141">
        <v>0.51852805711309902</v>
      </c>
      <c r="D9" s="141">
        <v>-0.1600896476869007</v>
      </c>
      <c r="E9" s="141">
        <v>-0.15288108755917573</v>
      </c>
      <c r="F9" s="141">
        <v>-0.44841208210441019</v>
      </c>
      <c r="G9" s="198">
        <v>1.2773371211981521</v>
      </c>
      <c r="I9" s="22" t="s">
        <v>331</v>
      </c>
      <c r="J9" s="22"/>
      <c r="K9" s="22"/>
      <c r="L9" s="22"/>
      <c r="N9" s="347">
        <f>N7-M7</f>
        <v>0.32070287125783375</v>
      </c>
      <c r="O9"/>
      <c r="P9" s="22" t="s">
        <v>331</v>
      </c>
      <c r="Q9" s="22"/>
      <c r="R9" s="22"/>
      <c r="S9" s="22"/>
      <c r="U9" s="347">
        <f>U7-T7</f>
        <v>0.38109045859069313</v>
      </c>
      <c r="V9" s="52"/>
    </row>
    <row r="10" spans="2:22" x14ac:dyDescent="0.3">
      <c r="B10" s="59" t="s">
        <v>284</v>
      </c>
      <c r="C10" s="142">
        <f>ESA2010_source!I90</f>
        <v>74169.873000000007</v>
      </c>
      <c r="D10" s="142">
        <f>ESA2010_source!J90</f>
        <v>76087.789000000004</v>
      </c>
      <c r="E10" s="142">
        <f>ESA2010_source!K90</f>
        <v>79138.241999999998</v>
      </c>
      <c r="F10" s="142">
        <f>ESA2010_source!L90</f>
        <v>81226.073000000004</v>
      </c>
      <c r="G10" s="199">
        <f>ESA2010_source!M90</f>
        <v>84850.873999999996</v>
      </c>
      <c r="I10" s="17" t="s">
        <v>415</v>
      </c>
      <c r="N10" s="348">
        <f>(DRM!D29-[57]DRM!$L$61)/ESA2010_source!M90*100</f>
        <v>1.5952799041292542E-2</v>
      </c>
      <c r="O10"/>
      <c r="P10" s="17" t="s">
        <v>332</v>
      </c>
      <c r="U10" s="348">
        <f>N10</f>
        <v>1.5952799041292542E-2</v>
      </c>
      <c r="V10" s="52"/>
    </row>
    <row r="11" spans="2:22" x14ac:dyDescent="0.3">
      <c r="B11" s="1" t="s">
        <v>285</v>
      </c>
      <c r="C11" s="143"/>
      <c r="D11" s="143"/>
      <c r="E11" s="143"/>
      <c r="F11" s="143"/>
      <c r="G11" s="200"/>
      <c r="I11" s="17" t="s">
        <v>414</v>
      </c>
      <c r="N11" s="348">
        <f>N9-N10-N12</f>
        <v>0.28500518069630182</v>
      </c>
      <c r="O11" s="437"/>
      <c r="P11" s="17" t="s">
        <v>385</v>
      </c>
      <c r="U11" s="348">
        <f>U9-U10</f>
        <v>0.36513765954940058</v>
      </c>
      <c r="V11" s="54"/>
    </row>
    <row r="12" spans="2:22" x14ac:dyDescent="0.3">
      <c r="B12" s="411" t="s">
        <v>286</v>
      </c>
      <c r="C12" s="144">
        <f>ESA2010_source!I42</f>
        <v>30736.550999999996</v>
      </c>
      <c r="D12" s="144">
        <f>ESA2010_source!J42</f>
        <v>31983.491000000002</v>
      </c>
      <c r="E12" s="144">
        <f>ESA2010_source!K42</f>
        <v>35683.803</v>
      </c>
      <c r="F12" s="144">
        <f>ESA2010_source!L42</f>
        <v>33668.572</v>
      </c>
      <c r="G12" s="201">
        <f>ESA2010_source!M42</f>
        <v>34103.112000000001</v>
      </c>
      <c r="I12" s="17" t="s">
        <v>416</v>
      </c>
      <c r="N12" s="438">
        <f>('[57]VP_základné hodnotenie'!$F$12-F12)/ESA2010_source!L90*100</f>
        <v>1.9744891520239401E-2</v>
      </c>
      <c r="O12"/>
      <c r="P12"/>
      <c r="Q12"/>
      <c r="R12"/>
      <c r="S12"/>
      <c r="T12"/>
      <c r="U12" s="53"/>
      <c r="V12" s="53"/>
    </row>
    <row r="13" spans="2:22" x14ac:dyDescent="0.3">
      <c r="B13" s="412" t="s">
        <v>287</v>
      </c>
      <c r="C13" s="60">
        <f>ESA2010_source!I59</f>
        <v>1387.038</v>
      </c>
      <c r="D13" s="60">
        <f>ESA2010_source!J59</f>
        <v>1443.6010000000001</v>
      </c>
      <c r="E13" s="60">
        <f>ESA2010_source!K59</f>
        <v>1379.4069999999999</v>
      </c>
      <c r="F13" s="60">
        <f>ESA2010_source!L59</f>
        <v>1335.808</v>
      </c>
      <c r="G13" s="202">
        <f>ESA2010_source!M59</f>
        <v>1179.442</v>
      </c>
      <c r="O13"/>
      <c r="P13"/>
      <c r="Q13"/>
      <c r="R13"/>
      <c r="S13"/>
      <c r="T13"/>
      <c r="U13" s="52"/>
      <c r="V13" s="52"/>
    </row>
    <row r="14" spans="2:22" x14ac:dyDescent="0.3">
      <c r="B14" s="413" t="s">
        <v>288</v>
      </c>
      <c r="C14" s="60">
        <f>'Výdavky z EÚ fondov'!F5</f>
        <v>1213</v>
      </c>
      <c r="D14" s="60">
        <f>'Výdavky z EÚ fondov'!G5</f>
        <v>1281</v>
      </c>
      <c r="E14" s="60">
        <f>'Výdavky z EÚ fondov'!H5</f>
        <v>2789</v>
      </c>
      <c r="F14" s="60">
        <f>'Výdavky z EÚ fondov'!I5</f>
        <v>796.34500000000003</v>
      </c>
      <c r="G14" s="202">
        <f>'Výdavky z EÚ fondov'!J5</f>
        <v>631.81200000000001</v>
      </c>
      <c r="I14" s="9" t="s">
        <v>422</v>
      </c>
      <c r="O14"/>
      <c r="P14"/>
      <c r="Q14"/>
      <c r="R14"/>
      <c r="S14"/>
      <c r="T14"/>
      <c r="U14" s="52"/>
      <c r="V14" s="52"/>
    </row>
    <row r="15" spans="2:22" x14ac:dyDescent="0.3">
      <c r="B15" s="414" t="s">
        <v>289</v>
      </c>
      <c r="C15" s="60">
        <f>'Výdavky z EÚ fondov'!F6</f>
        <v>970</v>
      </c>
      <c r="D15" s="60">
        <f>'Výdavky z EÚ fondov'!G6</f>
        <v>971</v>
      </c>
      <c r="E15" s="60">
        <f>'Výdavky z EÚ fondov'!H6</f>
        <v>2345</v>
      </c>
      <c r="F15" s="60">
        <f>'Výdavky z EÚ fondov'!I6</f>
        <v>506.88200000000001</v>
      </c>
      <c r="G15" s="202">
        <f>'Výdavky z EÚ fondov'!J6</f>
        <v>440.24799999999999</v>
      </c>
      <c r="I15"/>
      <c r="J15"/>
      <c r="K15"/>
      <c r="L15"/>
      <c r="M15"/>
      <c r="N15"/>
      <c r="O15"/>
      <c r="P15"/>
      <c r="Q15"/>
      <c r="R15"/>
      <c r="S15"/>
      <c r="T15"/>
    </row>
    <row r="16" spans="2:22" x14ac:dyDescent="0.3">
      <c r="B16" s="414" t="s">
        <v>290</v>
      </c>
      <c r="C16" s="60">
        <f>'Výdavky z EÚ fondov'!F8</f>
        <v>1496.08</v>
      </c>
      <c r="D16" s="60">
        <f>'Výdavky z EÚ fondov'!G8</f>
        <v>2052.41</v>
      </c>
      <c r="E16" s="60">
        <f>'Výdavky z EÚ fondov'!H8</f>
        <v>2605.6450000000004</v>
      </c>
      <c r="F16" s="60">
        <f>'Výdavky z EÚ fondov'!I8</f>
        <v>2092.6889999999999</v>
      </c>
      <c r="G16" s="202">
        <f>'Výdavky z EÚ fondov'!J8</f>
        <v>2258.7179999999998</v>
      </c>
      <c r="I16"/>
      <c r="J16"/>
      <c r="K16"/>
      <c r="L16"/>
      <c r="M16"/>
      <c r="N16"/>
      <c r="O16"/>
      <c r="P16"/>
      <c r="Q16"/>
      <c r="R16"/>
      <c r="S16"/>
      <c r="T16"/>
    </row>
    <row r="17" spans="1:27" x14ac:dyDescent="0.3">
      <c r="B17" s="414" t="s">
        <v>291</v>
      </c>
      <c r="C17" s="60">
        <f>'Výdavky z EÚ fondov'!F9</f>
        <v>1686.1845000000001</v>
      </c>
      <c r="D17" s="60">
        <f>'Výdavky z EÚ fondov'!G9</f>
        <v>1747.7649999999999</v>
      </c>
      <c r="E17" s="60">
        <f>'Výdavky z EÚ fondov'!H9</f>
        <v>1944.4865</v>
      </c>
      <c r="F17" s="60">
        <f>'Výdavky z EÚ fondov'!I9</f>
        <v>2061.7060000000001</v>
      </c>
      <c r="G17" s="202">
        <f>'Výdavky z EÚ fondov'!J9</f>
        <v>2252.3654999999999</v>
      </c>
      <c r="I17"/>
      <c r="J17"/>
      <c r="K17"/>
      <c r="M17"/>
      <c r="N17"/>
      <c r="O17"/>
      <c r="P17"/>
      <c r="Q17"/>
      <c r="R17"/>
      <c r="S17"/>
      <c r="T17"/>
    </row>
    <row r="18" spans="1:27" x14ac:dyDescent="0.3">
      <c r="B18" s="414" t="s">
        <v>402</v>
      </c>
      <c r="C18" s="60">
        <v>19</v>
      </c>
      <c r="D18" s="60">
        <v>7</v>
      </c>
      <c r="E18" s="60">
        <v>-15.097236000000002</v>
      </c>
      <c r="F18" s="60">
        <v>0.61901468199999998</v>
      </c>
      <c r="G18" s="202">
        <v>-64.426943800000004</v>
      </c>
      <c r="I18" s="169"/>
      <c r="J18" s="169"/>
      <c r="K18"/>
      <c r="L18"/>
      <c r="M18"/>
      <c r="N18"/>
      <c r="O18"/>
      <c r="P18"/>
      <c r="Q18"/>
      <c r="R18"/>
      <c r="S18"/>
      <c r="T18"/>
    </row>
    <row r="19" spans="1:27" x14ac:dyDescent="0.3">
      <c r="B19" s="414" t="s">
        <v>292</v>
      </c>
      <c r="C19" s="60">
        <v>0</v>
      </c>
      <c r="D19" s="60">
        <v>0</v>
      </c>
      <c r="E19" s="60">
        <v>0</v>
      </c>
      <c r="F19" s="60">
        <v>0</v>
      </c>
      <c r="G19" s="202">
        <v>0</v>
      </c>
      <c r="H19" s="255"/>
      <c r="I19"/>
      <c r="J19"/>
      <c r="K19"/>
      <c r="L19"/>
      <c r="M19"/>
      <c r="N19"/>
      <c r="O19"/>
      <c r="P19"/>
      <c r="Q19"/>
      <c r="R19"/>
      <c r="S19"/>
      <c r="T19"/>
    </row>
    <row r="20" spans="1:27" ht="15" thickBot="1" x14ac:dyDescent="0.35">
      <c r="B20" s="170" t="s">
        <v>297</v>
      </c>
      <c r="C20" s="28">
        <f>C12-C13-C14-C16-C18-C19+C17</f>
        <v>28307.617499999997</v>
      </c>
      <c r="D20" s="403">
        <f>D12-D13-D14-D16-D18-D19+D17</f>
        <v>28947.245000000003</v>
      </c>
      <c r="E20" s="403">
        <f>E12-E13-E14-E16-E18-E19+E17</f>
        <v>30869.334736000001</v>
      </c>
      <c r="F20" s="403">
        <f>F12-F13-F14-F16-F18-F19+F17</f>
        <v>31504.816985318001</v>
      </c>
      <c r="G20" s="404">
        <f>G12-G13-G14-G16-G18-G19+G17</f>
        <v>32349.932443799997</v>
      </c>
      <c r="H20" s="434"/>
      <c r="I20"/>
      <c r="J20"/>
      <c r="K20"/>
      <c r="L20"/>
      <c r="M20"/>
      <c r="N20"/>
      <c r="O20"/>
      <c r="P20"/>
      <c r="Q20"/>
      <c r="R20"/>
      <c r="S20"/>
      <c r="T20"/>
    </row>
    <row r="21" spans="1:27" ht="13.5" customHeight="1" x14ac:dyDescent="0.3">
      <c r="B21" s="171" t="s">
        <v>298</v>
      </c>
      <c r="C21" s="60"/>
      <c r="D21" s="60">
        <f t="shared" ref="D21:E21" si="0">D20-C20</f>
        <v>639.62750000000597</v>
      </c>
      <c r="E21" s="60">
        <f t="shared" si="0"/>
        <v>1922.0897359999981</v>
      </c>
      <c r="F21" s="60">
        <f>F20-E20</f>
        <v>635.48224931799996</v>
      </c>
      <c r="G21" s="202">
        <f>G20-F20</f>
        <v>845.11545848199603</v>
      </c>
      <c r="H21" s="140"/>
      <c r="I21"/>
      <c r="J21"/>
      <c r="K21"/>
      <c r="L21"/>
      <c r="M21"/>
      <c r="N21"/>
      <c r="O21"/>
      <c r="P21"/>
      <c r="Q21"/>
      <c r="R21"/>
      <c r="S21"/>
      <c r="T21"/>
    </row>
    <row r="22" spans="1:27" s="23" customFormat="1" x14ac:dyDescent="0.3">
      <c r="A22" s="17"/>
      <c r="B22" s="172" t="s">
        <v>295</v>
      </c>
      <c r="C22" s="60"/>
      <c r="D22" s="60">
        <v>-29.897010648782608</v>
      </c>
      <c r="E22" s="60">
        <v>199.72009571650696</v>
      </c>
      <c r="F22" s="60">
        <f>DRM!C29</f>
        <v>77.923268918238378</v>
      </c>
      <c r="G22" s="202">
        <f>DRM!D29</f>
        <v>345.21460434015012</v>
      </c>
      <c r="H22"/>
      <c r="I22"/>
      <c r="J22"/>
      <c r="K22"/>
      <c r="L22"/>
      <c r="M22"/>
      <c r="N22"/>
      <c r="O22"/>
      <c r="P22"/>
      <c r="Q22"/>
      <c r="R22"/>
      <c r="S22"/>
      <c r="T22"/>
      <c r="U22" s="17"/>
      <c r="V22" s="17"/>
      <c r="W22" s="17"/>
      <c r="X22" s="17"/>
      <c r="Y22" s="17"/>
      <c r="Z22" s="17"/>
      <c r="AA22" s="17"/>
    </row>
    <row r="23" spans="1:27" x14ac:dyDescent="0.3">
      <c r="A23" s="23"/>
      <c r="B23" s="172" t="s">
        <v>393</v>
      </c>
      <c r="C23" s="60"/>
      <c r="D23" s="60">
        <f>-'One-offs'!E16</f>
        <v>0</v>
      </c>
      <c r="E23" s="60">
        <f>-'One-offs'!F16</f>
        <v>0</v>
      </c>
      <c r="F23" s="60">
        <f>-'One-offs'!G16</f>
        <v>0</v>
      </c>
      <c r="G23" s="202">
        <f>-'One-offs'!H16</f>
        <v>0</v>
      </c>
      <c r="H23" s="140"/>
      <c r="I23"/>
      <c r="J23"/>
      <c r="K23"/>
      <c r="L23"/>
      <c r="M23"/>
      <c r="N23"/>
      <c r="O23"/>
      <c r="P23"/>
      <c r="Q23"/>
      <c r="R23"/>
      <c r="S23"/>
      <c r="T23"/>
    </row>
    <row r="24" spans="1:27" x14ac:dyDescent="0.3">
      <c r="B24" s="172" t="s">
        <v>296</v>
      </c>
      <c r="C24" s="60"/>
      <c r="D24" s="60">
        <v>58.452266829999999</v>
      </c>
      <c r="E24" s="60">
        <f>-'One-offs'!F17</f>
        <v>0</v>
      </c>
      <c r="F24" s="60">
        <f>-'One-offs'!G17</f>
        <v>51.894528199999996</v>
      </c>
      <c r="G24" s="202">
        <f>-'One-offs'!H17</f>
        <v>5.7880000000000003</v>
      </c>
      <c r="H24" s="247"/>
      <c r="I24"/>
      <c r="J24"/>
      <c r="K24"/>
      <c r="L24"/>
      <c r="M24"/>
      <c r="N24"/>
      <c r="O24"/>
      <c r="P24"/>
      <c r="Q24"/>
      <c r="R24"/>
      <c r="S24"/>
      <c r="T24"/>
    </row>
    <row r="25" spans="1:27" ht="15" thickBot="1" x14ac:dyDescent="0.35">
      <c r="B25" s="410" t="s">
        <v>384</v>
      </c>
      <c r="C25" s="405"/>
      <c r="D25" s="405"/>
      <c r="E25" s="405"/>
      <c r="F25" s="405">
        <f>DRM!C36</f>
        <v>47.042708740000016</v>
      </c>
      <c r="G25" s="406">
        <f>DRM!D36</f>
        <v>15.325923259999993</v>
      </c>
      <c r="H25" s="305"/>
      <c r="I25" s="39"/>
      <c r="J25" s="39"/>
      <c r="K25" s="39"/>
    </row>
    <row r="26" spans="1:27" ht="14.4" customHeight="1" x14ac:dyDescent="0.3">
      <c r="B26" s="61" t="s">
        <v>302</v>
      </c>
      <c r="C26" s="62"/>
      <c r="D26" s="62"/>
      <c r="E26" s="62">
        <f>((E20-(E22-E23+E25)-E24)/(D20-D24)-1)*100</f>
        <v>6.164404042640248</v>
      </c>
      <c r="F26" s="435">
        <f>((F20-(F22-F23+F25)-F24)/(E20-E24)-1)*100</f>
        <v>1.4856871629465918</v>
      </c>
      <c r="G26" s="436">
        <f>((G20-(G22-G23+G25)-G24)/(F20-F24)-1)*100</f>
        <v>1.6872246444042061</v>
      </c>
      <c r="I26" s="23"/>
    </row>
    <row r="27" spans="1:27" ht="14.4" customHeight="1" x14ac:dyDescent="0.3">
      <c r="B27" s="61" t="s">
        <v>275</v>
      </c>
      <c r="C27" s="62"/>
      <c r="D27" s="62"/>
      <c r="E27" s="62">
        <f>E9</f>
        <v>-0.15288108755917573</v>
      </c>
      <c r="F27" s="62">
        <f>F9</f>
        <v>-0.44841208210441019</v>
      </c>
      <c r="G27" s="203">
        <f>G9</f>
        <v>1.2773371211981521</v>
      </c>
      <c r="I27" s="32"/>
    </row>
    <row r="28" spans="1:27" x14ac:dyDescent="0.3">
      <c r="B28" s="173" t="s">
        <v>293</v>
      </c>
      <c r="C28" s="32"/>
      <c r="D28" s="32"/>
      <c r="E28" s="32">
        <f t="shared" ref="E28" si="1">E26-E27</f>
        <v>6.3172851301994237</v>
      </c>
      <c r="F28" s="32">
        <f>F26-F27</f>
        <v>1.9340992450510019</v>
      </c>
      <c r="G28" s="204">
        <f>G26-G27</f>
        <v>0.40988752320605393</v>
      </c>
      <c r="I28" s="23"/>
    </row>
    <row r="29" spans="1:27" x14ac:dyDescent="0.3">
      <c r="B29" s="63" t="s">
        <v>276</v>
      </c>
      <c r="C29" s="62"/>
      <c r="D29" s="62"/>
      <c r="E29" s="62">
        <f>E8</f>
        <v>3.1173372071211958</v>
      </c>
      <c r="F29" s="62">
        <f>F8</f>
        <v>2.9443598319073727</v>
      </c>
      <c r="G29" s="203">
        <f>G8</f>
        <v>3.0485211948110491</v>
      </c>
      <c r="J29" s="36"/>
    </row>
    <row r="30" spans="1:27" ht="15" thickBot="1" x14ac:dyDescent="0.35">
      <c r="B30" s="61" t="s">
        <v>412</v>
      </c>
      <c r="C30" s="62"/>
      <c r="D30" s="62"/>
      <c r="E30" s="62"/>
      <c r="F30" s="62">
        <f>F36/((E20)/E10)</f>
        <v>1.2155967795950551</v>
      </c>
      <c r="G30" s="203">
        <f>G36/((F20)/F10)</f>
        <v>1.2225001145531067</v>
      </c>
    </row>
    <row r="31" spans="1:27" ht="15" thickBot="1" x14ac:dyDescent="0.35">
      <c r="B31" s="26" t="s">
        <v>299</v>
      </c>
      <c r="C31" s="29"/>
      <c r="D31" s="29"/>
      <c r="E31" s="29"/>
      <c r="F31" s="29">
        <f>F29-F30</f>
        <v>1.7287630523123176</v>
      </c>
      <c r="G31" s="205">
        <f>G29-G30</f>
        <v>1.8260210802579424</v>
      </c>
    </row>
    <row r="32" spans="1:27" ht="26.25" customHeight="1" x14ac:dyDescent="0.3">
      <c r="B32" s="25" t="s">
        <v>310</v>
      </c>
      <c r="C32" s="62"/>
      <c r="D32" s="32"/>
      <c r="E32" s="32"/>
      <c r="F32" s="30">
        <f>((F31-F28)/100*E20)/F10*100</f>
        <v>-7.8036416546522672E-2</v>
      </c>
      <c r="G32" s="30">
        <f>((G31-G28)/100*F20)/G10*100</f>
        <v>0.52580517369434676</v>
      </c>
    </row>
    <row r="33" spans="1:8" ht="15" customHeight="1" thickBot="1" x14ac:dyDescent="0.35">
      <c r="B33" s="2" t="s">
        <v>277</v>
      </c>
      <c r="C33" s="27"/>
      <c r="D33" s="407"/>
      <c r="E33" s="407"/>
      <c r="F33" s="407" t="str">
        <f>IF(F32&gt;=0,"áno","nie")</f>
        <v>nie</v>
      </c>
      <c r="G33" s="408" t="str">
        <f>IF(G32&gt;=0,"áno","nie")</f>
        <v>áno</v>
      </c>
    </row>
    <row r="34" spans="1:8" ht="15" customHeight="1" x14ac:dyDescent="0.3">
      <c r="A34" s="23"/>
      <c r="B34" s="427" t="s">
        <v>405</v>
      </c>
      <c r="C34" s="426"/>
      <c r="D34" s="426"/>
      <c r="E34" s="426"/>
      <c r="F34" s="30">
        <f>SUM(F32)</f>
        <v>-7.8036416546522672E-2</v>
      </c>
      <c r="G34" s="30">
        <f>SUM(F32:G32)</f>
        <v>0.4477687571478241</v>
      </c>
      <c r="H34" s="169"/>
    </row>
    <row r="35" spans="1:8" ht="15" customHeight="1" thickBot="1" x14ac:dyDescent="0.35">
      <c r="A35" s="23"/>
      <c r="B35" s="2" t="s">
        <v>406</v>
      </c>
      <c r="C35" s="27"/>
      <c r="D35" s="407"/>
      <c r="E35" s="407"/>
      <c r="F35" s="407" t="str">
        <f>IF(F34&gt;=0,"áno","nie")</f>
        <v>nie</v>
      </c>
      <c r="G35" s="408" t="str">
        <f>IF(G34&gt;=0,"áno","nie")</f>
        <v>áno</v>
      </c>
      <c r="H35" s="169"/>
    </row>
    <row r="36" spans="1:8" x14ac:dyDescent="0.3">
      <c r="B36" s="64" t="s">
        <v>403</v>
      </c>
      <c r="C36" s="65"/>
      <c r="D36" s="65"/>
      <c r="E36" s="65"/>
      <c r="F36" s="306">
        <f>'ŠS_základné hodnotenie'!E19</f>
        <v>0.47416600299667222</v>
      </c>
      <c r="G36" s="306">
        <f>'ŠS_základné hodnotenie'!F19</f>
        <v>0.47416600299667222</v>
      </c>
    </row>
    <row r="37" spans="1:8" x14ac:dyDescent="0.3">
      <c r="B37" s="231"/>
      <c r="C37" s="66"/>
      <c r="G37" s="229" t="s">
        <v>22</v>
      </c>
    </row>
    <row r="40" spans="1:8" ht="15.6" x14ac:dyDescent="0.3">
      <c r="B40" s="445" t="s">
        <v>303</v>
      </c>
      <c r="C40" s="445"/>
      <c r="D40" s="445"/>
      <c r="E40" s="445"/>
      <c r="F40" s="445"/>
      <c r="G40" s="343"/>
    </row>
    <row r="42" spans="1:8" x14ac:dyDescent="0.3">
      <c r="E42" s="19"/>
      <c r="F42" s="19"/>
      <c r="G42" s="19"/>
    </row>
    <row r="43" spans="1:8" ht="15.6" x14ac:dyDescent="0.3">
      <c r="B43" s="445" t="str">
        <f>IF(G34&gt;-0.0499,"Nie je identifikované ochýlenie",IF(G34&gt;=-0.5,"Nevýrazné odchýlenie","Výrazné odchýlenie"))</f>
        <v>Nie je identifikované ochýlenie</v>
      </c>
      <c r="C43" s="445"/>
      <c r="D43" s="445"/>
      <c r="E43" s="445"/>
      <c r="F43" s="445"/>
      <c r="G43" s="343"/>
    </row>
    <row r="46" spans="1:8" x14ac:dyDescent="0.3">
      <c r="B46" s="307" t="s">
        <v>407</v>
      </c>
      <c r="C46" s="52"/>
      <c r="D46" s="37"/>
      <c r="E46" s="37"/>
    </row>
    <row r="47" spans="1:8" x14ac:dyDescent="0.3">
      <c r="B47" s="308" t="s">
        <v>35</v>
      </c>
      <c r="C47" s="309" t="s">
        <v>326</v>
      </c>
      <c r="D47" s="308" t="s">
        <v>327</v>
      </c>
      <c r="E47" s="310" t="s">
        <v>328</v>
      </c>
    </row>
    <row r="48" spans="1:8" x14ac:dyDescent="0.3">
      <c r="B48" s="151" t="s">
        <v>7</v>
      </c>
      <c r="C48" s="311">
        <v>0.20510230243651292</v>
      </c>
      <c r="D48" s="311">
        <f>G32</f>
        <v>0.52580517369434676</v>
      </c>
      <c r="E48" s="311">
        <f>D48-C48</f>
        <v>0.32070287125783381</v>
      </c>
    </row>
    <row r="49" spans="2:5" x14ac:dyDescent="0.3">
      <c r="B49" s="258" t="s">
        <v>408</v>
      </c>
      <c r="C49" s="324">
        <v>6.6678298557130949E-2</v>
      </c>
      <c r="D49" s="324">
        <f>G34</f>
        <v>0.4477687571478241</v>
      </c>
      <c r="E49" s="324">
        <f>D49-C49</f>
        <v>0.38109045859069313</v>
      </c>
    </row>
    <row r="50" spans="2:5" x14ac:dyDescent="0.3">
      <c r="B50" s="402"/>
      <c r="C50" s="429"/>
      <c r="D50" s="402"/>
      <c r="E50" s="240"/>
    </row>
    <row r="51" spans="2:5" x14ac:dyDescent="0.3">
      <c r="B51" s="242"/>
      <c r="C51" s="428"/>
      <c r="D51" s="428"/>
      <c r="E51" s="428"/>
    </row>
  </sheetData>
  <mergeCells count="3">
    <mergeCell ref="B40:F40"/>
    <mergeCell ref="B3:F3"/>
    <mergeCell ref="B43:F4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FFFF00"/>
  </sheetPr>
  <dimension ref="B3:L27"/>
  <sheetViews>
    <sheetView showGridLines="0" zoomScale="90" zoomScaleNormal="90" workbookViewId="0">
      <selection activeCell="B36" sqref="B36"/>
    </sheetView>
  </sheetViews>
  <sheetFormatPr defaultColWidth="9.109375" defaultRowHeight="14.4" x14ac:dyDescent="0.3"/>
  <cols>
    <col min="1" max="1" width="15.44140625" style="17" customWidth="1"/>
    <col min="2" max="2" width="69" style="17" customWidth="1"/>
    <col min="3" max="6" width="9.33203125" style="17" customWidth="1"/>
    <col min="7" max="7" width="9.33203125" customWidth="1"/>
    <col min="8" max="16384" width="9.109375" style="17"/>
  </cols>
  <sheetData>
    <row r="3" spans="2:12" ht="15.6" x14ac:dyDescent="0.3">
      <c r="B3" s="445" t="s">
        <v>306</v>
      </c>
      <c r="C3" s="445"/>
      <c r="D3" s="445"/>
      <c r="E3" s="445"/>
      <c r="F3" s="445"/>
    </row>
    <row r="6" spans="2:12" x14ac:dyDescent="0.3">
      <c r="B6" s="245" t="s">
        <v>56</v>
      </c>
      <c r="C6" s="178"/>
      <c r="D6" s="178"/>
      <c r="E6" s="178"/>
    </row>
    <row r="7" spans="2:12" x14ac:dyDescent="0.3">
      <c r="B7" s="232"/>
      <c r="C7" s="233"/>
      <c r="D7" s="233"/>
      <c r="E7" s="233">
        <v>2016</v>
      </c>
    </row>
    <row r="8" spans="2:12" x14ac:dyDescent="0.3">
      <c r="B8" s="173" t="s">
        <v>314</v>
      </c>
      <c r="C8" s="265"/>
      <c r="D8" s="265"/>
      <c r="E8" s="265">
        <f>'VP_základné hodnotenie'!F32</f>
        <v>-7.8036416546522672E-2</v>
      </c>
      <c r="F8" s="23"/>
      <c r="H8"/>
      <c r="I8"/>
      <c r="J8"/>
      <c r="K8"/>
    </row>
    <row r="9" spans="2:12" x14ac:dyDescent="0.3">
      <c r="B9" s="61" t="s">
        <v>23</v>
      </c>
      <c r="C9" s="154"/>
      <c r="D9" s="154"/>
      <c r="E9" s="342"/>
      <c r="F9" s="52"/>
      <c r="H9"/>
      <c r="I9"/>
      <c r="J9"/>
      <c r="K9"/>
    </row>
    <row r="10" spans="2:12" x14ac:dyDescent="0.3">
      <c r="B10" s="67" t="s">
        <v>26</v>
      </c>
      <c r="C10" s="155"/>
      <c r="D10" s="155"/>
      <c r="E10" s="342">
        <f>F26</f>
        <v>0.32994754036674895</v>
      </c>
      <c r="F10" s="23"/>
      <c r="H10"/>
      <c r="I10"/>
      <c r="J10"/>
      <c r="K10"/>
    </row>
    <row r="11" spans="2:12" x14ac:dyDescent="0.3">
      <c r="B11" s="67" t="s">
        <v>0</v>
      </c>
      <c r="C11" s="155"/>
      <c r="D11" s="155"/>
      <c r="E11" s="342">
        <f>F20</f>
        <v>-0.59586778250377803</v>
      </c>
      <c r="F11" s="23"/>
      <c r="H11"/>
      <c r="I11"/>
      <c r="J11"/>
      <c r="K11"/>
      <c r="L11"/>
    </row>
    <row r="12" spans="2:12" x14ac:dyDescent="0.3">
      <c r="B12" s="263" t="s">
        <v>24</v>
      </c>
      <c r="C12" s="264"/>
      <c r="D12" s="264"/>
      <c r="E12" s="264">
        <f>E8+E10+E11</f>
        <v>-0.34395665868355174</v>
      </c>
      <c r="F12" s="23"/>
      <c r="H12"/>
      <c r="I12"/>
      <c r="J12"/>
      <c r="K12"/>
      <c r="L12"/>
    </row>
    <row r="13" spans="2:12" x14ac:dyDescent="0.3">
      <c r="B13" s="263" t="s">
        <v>25</v>
      </c>
      <c r="C13" s="279"/>
      <c r="D13" s="280"/>
      <c r="E13" s="279" t="str">
        <f>IF(E12&gt;=0,"áno","nie")</f>
        <v>nie</v>
      </c>
      <c r="H13"/>
      <c r="I13"/>
      <c r="J13"/>
      <c r="K13"/>
      <c r="L13"/>
    </row>
    <row r="14" spans="2:12" x14ac:dyDescent="0.3">
      <c r="B14" s="37" t="s">
        <v>318</v>
      </c>
      <c r="C14" s="37"/>
      <c r="E14" s="206" t="s">
        <v>22</v>
      </c>
      <c r="H14"/>
      <c r="I14"/>
      <c r="J14"/>
      <c r="K14"/>
      <c r="L14"/>
    </row>
    <row r="15" spans="2:12" x14ac:dyDescent="0.3">
      <c r="C15"/>
      <c r="H15"/>
      <c r="I15"/>
      <c r="J15"/>
      <c r="K15"/>
      <c r="L15"/>
    </row>
    <row r="16" spans="2:12" x14ac:dyDescent="0.3">
      <c r="B16" s="177" t="s">
        <v>339</v>
      </c>
      <c r="C16" s="178"/>
      <c r="D16" s="179"/>
      <c r="E16" s="179"/>
      <c r="F16" s="179"/>
    </row>
    <row r="17" spans="2:12" x14ac:dyDescent="0.3">
      <c r="B17" s="175"/>
      <c r="C17" s="176">
        <v>2013</v>
      </c>
      <c r="D17" s="176">
        <v>2014</v>
      </c>
      <c r="E17" s="176">
        <v>2015</v>
      </c>
      <c r="F17" s="176">
        <v>2016</v>
      </c>
    </row>
    <row r="18" spans="2:12" x14ac:dyDescent="0.3">
      <c r="B18" s="7" t="s">
        <v>53</v>
      </c>
      <c r="C18" s="284">
        <v>379</v>
      </c>
      <c r="D18" s="284">
        <v>383</v>
      </c>
      <c r="E18" s="284">
        <v>760</v>
      </c>
      <c r="F18" s="284">
        <v>276</v>
      </c>
    </row>
    <row r="19" spans="2:12" x14ac:dyDescent="0.3">
      <c r="B19" s="71" t="s">
        <v>48</v>
      </c>
      <c r="C19" s="285">
        <v>0</v>
      </c>
      <c r="D19" s="286">
        <f>D18-C18</f>
        <v>4</v>
      </c>
      <c r="E19" s="286">
        <f>E18-D18</f>
        <v>377</v>
      </c>
      <c r="F19" s="286">
        <f>F18-E18</f>
        <v>-484</v>
      </c>
      <c r="H19"/>
      <c r="I19"/>
      <c r="J19"/>
      <c r="K19"/>
      <c r="L19"/>
    </row>
    <row r="20" spans="2:12" x14ac:dyDescent="0.3">
      <c r="B20" s="68" t="s">
        <v>49</v>
      </c>
      <c r="C20" s="69">
        <f>C19/ESA2010_source!I90*100</f>
        <v>0</v>
      </c>
      <c r="D20" s="69">
        <f>D19/ESA2010_source!J90*100</f>
        <v>5.2570853386211553E-3</v>
      </c>
      <c r="E20" s="69">
        <f>E19/ESA2010_source!K90*100</f>
        <v>0.47638157036644813</v>
      </c>
      <c r="F20" s="69">
        <f>F19/ESA2010_source!L90*100</f>
        <v>-0.59586778250377803</v>
      </c>
      <c r="H20"/>
      <c r="I20"/>
      <c r="J20"/>
      <c r="K20"/>
      <c r="L20"/>
    </row>
    <row r="21" spans="2:12" x14ac:dyDescent="0.3">
      <c r="B21" s="23"/>
      <c r="D21" s="23"/>
      <c r="F21" s="168" t="s">
        <v>22</v>
      </c>
      <c r="H21"/>
      <c r="I21"/>
      <c r="J21"/>
      <c r="K21"/>
      <c r="L21"/>
    </row>
    <row r="22" spans="2:12" x14ac:dyDescent="0.3">
      <c r="D22"/>
      <c r="E22"/>
      <c r="H22"/>
      <c r="I22"/>
      <c r="J22"/>
      <c r="K22"/>
      <c r="L22"/>
    </row>
    <row r="23" spans="2:12" x14ac:dyDescent="0.3">
      <c r="B23" s="162" t="s">
        <v>340</v>
      </c>
      <c r="C23" s="23"/>
      <c r="D23" s="23"/>
      <c r="E23" s="23"/>
    </row>
    <row r="24" spans="2:12" x14ac:dyDescent="0.3">
      <c r="B24" s="70"/>
      <c r="C24" s="147">
        <v>2013</v>
      </c>
      <c r="D24" s="147">
        <v>2014</v>
      </c>
      <c r="E24" s="147">
        <v>2015</v>
      </c>
      <c r="F24" s="147">
        <v>2016</v>
      </c>
    </row>
    <row r="25" spans="2:12" x14ac:dyDescent="0.3">
      <c r="B25" s="71" t="s">
        <v>280</v>
      </c>
      <c r="C25" s="289">
        <v>209.99009000000001</v>
      </c>
      <c r="D25" s="290">
        <v>438.01969000000003</v>
      </c>
      <c r="E25" s="290">
        <v>60.13823</v>
      </c>
      <c r="F25" s="290">
        <v>268.00342999999998</v>
      </c>
    </row>
    <row r="26" spans="2:12" x14ac:dyDescent="0.3">
      <c r="B26" s="68" t="s">
        <v>47</v>
      </c>
      <c r="C26" s="69">
        <f>C25/ESA2010_source!I90*100</f>
        <v>0.2831204659066896</v>
      </c>
      <c r="D26" s="69">
        <f>D25/ESA2010_source!J90*100</f>
        <v>0.57567672258159586</v>
      </c>
      <c r="E26" s="69">
        <f>E25/ESA2010_source!K90*100</f>
        <v>7.5991364579465898E-2</v>
      </c>
      <c r="F26" s="69">
        <f>F25/ESA2010_source!L90*100</f>
        <v>0.32994754036674895</v>
      </c>
    </row>
    <row r="27" spans="2:12" x14ac:dyDescent="0.3">
      <c r="B27" s="23"/>
      <c r="E27" s="174"/>
      <c r="F27" s="167" t="s">
        <v>22</v>
      </c>
    </row>
  </sheetData>
  <mergeCells count="1">
    <mergeCell ref="B3:F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1"/>
  <sheetViews>
    <sheetView showGridLines="0" zoomScale="90" zoomScaleNormal="90" workbookViewId="0">
      <selection activeCell="B3" sqref="B3"/>
    </sheetView>
  </sheetViews>
  <sheetFormatPr defaultColWidth="9.109375" defaultRowHeight="13.8" x14ac:dyDescent="0.3"/>
  <cols>
    <col min="1" max="1" width="13.109375" style="17" customWidth="1"/>
    <col min="2" max="2" width="18.5546875" style="17" bestFit="1" customWidth="1"/>
    <col min="3" max="3" width="9.5546875" style="17" bestFit="1" customWidth="1"/>
    <col min="4" max="4" width="10.5546875" style="17" customWidth="1"/>
    <col min="5" max="6" width="12.88671875" style="17" customWidth="1"/>
    <col min="7" max="8" width="9.88671875" style="17" bestFit="1" customWidth="1"/>
    <col min="9" max="16384" width="9.109375" style="17"/>
  </cols>
  <sheetData>
    <row r="2" spans="2:10" x14ac:dyDescent="0.3">
      <c r="B2" s="450" t="s">
        <v>424</v>
      </c>
      <c r="C2" s="450"/>
      <c r="D2" s="450"/>
      <c r="E2" s="450"/>
      <c r="F2" s="450"/>
      <c r="G2" s="450"/>
      <c r="H2" s="450"/>
    </row>
    <row r="3" spans="2:10" x14ac:dyDescent="0.3">
      <c r="B3" s="133"/>
      <c r="C3" s="451" t="s">
        <v>37</v>
      </c>
      <c r="D3" s="452"/>
      <c r="E3" s="451" t="s">
        <v>394</v>
      </c>
      <c r="F3" s="452"/>
      <c r="G3" s="453" t="s">
        <v>38</v>
      </c>
      <c r="H3" s="453"/>
    </row>
    <row r="4" spans="2:10" x14ac:dyDescent="0.3">
      <c r="B4" s="210"/>
      <c r="C4" s="219">
        <v>2016</v>
      </c>
      <c r="D4" s="224">
        <v>2017</v>
      </c>
      <c r="E4" s="219">
        <f>C4</f>
        <v>2016</v>
      </c>
      <c r="F4" s="224">
        <f>D4</f>
        <v>2017</v>
      </c>
      <c r="G4" s="214">
        <f>C4</f>
        <v>2016</v>
      </c>
      <c r="H4" s="214">
        <f>D4</f>
        <v>2017</v>
      </c>
    </row>
    <row r="5" spans="2:10" x14ac:dyDescent="0.3">
      <c r="B5" s="210" t="s">
        <v>9</v>
      </c>
      <c r="C5" s="220">
        <f>'ŠS_základné hodnotenie'!F6</f>
        <v>-2.2218395317473938</v>
      </c>
      <c r="D5" s="225">
        <f>'ŠS_základné hodnotenie'!G6</f>
        <v>-0.76739457038474956</v>
      </c>
      <c r="E5" s="220">
        <v>-2.2218395317473978</v>
      </c>
      <c r="F5" s="225">
        <v>-0.7770491556751673</v>
      </c>
      <c r="G5" s="72">
        <f t="shared" ref="G5:H9" si="0">C5-E5</f>
        <v>3.9968028886505635E-15</v>
      </c>
      <c r="H5" s="72">
        <f t="shared" si="0"/>
        <v>9.6545852904177387E-3</v>
      </c>
    </row>
    <row r="6" spans="2:10" x14ac:dyDescent="0.3">
      <c r="B6" s="210" t="s">
        <v>10</v>
      </c>
      <c r="C6" s="250">
        <f>'ŠS_základné hodnotenie'!F7</f>
        <v>-0.1565327</v>
      </c>
      <c r="D6" s="251">
        <f>'ŠS_základné hodnotenie'!G7</f>
        <v>9.2435400000000001E-2</v>
      </c>
      <c r="E6" s="250">
        <v>-7.9481210892624221E-2</v>
      </c>
      <c r="F6" s="251">
        <v>5.4489314304852814E-2</v>
      </c>
      <c r="G6" s="252">
        <f t="shared" si="0"/>
        <v>-7.7051489107375776E-2</v>
      </c>
      <c r="H6" s="252">
        <f t="shared" si="0"/>
        <v>3.7946085695147187E-2</v>
      </c>
      <c r="J6" s="36"/>
    </row>
    <row r="7" spans="2:10" x14ac:dyDescent="0.3">
      <c r="B7" s="215" t="s">
        <v>39</v>
      </c>
      <c r="C7" s="221">
        <f>'ŠS_základné hodnotenie'!F8</f>
        <v>-0.14251116165618372</v>
      </c>
      <c r="D7" s="226">
        <f>'ŠS_základné hodnotenie'!G8</f>
        <v>2.8394026913622357E-3</v>
      </c>
      <c r="E7" s="221">
        <v>-4.3286593456266183E-2</v>
      </c>
      <c r="F7" s="226">
        <v>0</v>
      </c>
      <c r="G7" s="216">
        <f t="shared" si="0"/>
        <v>-9.922456819991754E-2</v>
      </c>
      <c r="H7" s="216">
        <f t="shared" si="0"/>
        <v>2.8394026913622357E-3</v>
      </c>
    </row>
    <row r="8" spans="2:10" x14ac:dyDescent="0.3">
      <c r="B8" s="217" t="s">
        <v>40</v>
      </c>
      <c r="C8" s="222">
        <f>'ŠS_základné hodnotenie'!F9</f>
        <v>-1.9227956700912099</v>
      </c>
      <c r="D8" s="227">
        <f>'ŠS_základné hodnotenie'!G9</f>
        <v>-0.8626693730761118</v>
      </c>
      <c r="E8" s="222">
        <v>-2.0990717273985076</v>
      </c>
      <c r="F8" s="227">
        <v>-0.83153846998002012</v>
      </c>
      <c r="G8" s="218">
        <f t="shared" si="0"/>
        <v>0.17627605730729767</v>
      </c>
      <c r="H8" s="218">
        <f t="shared" si="0"/>
        <v>-3.1130903096091678E-2</v>
      </c>
    </row>
    <row r="9" spans="2:10" x14ac:dyDescent="0.3">
      <c r="B9" s="211" t="s">
        <v>41</v>
      </c>
      <c r="C9" s="223">
        <f>'ŠS_základné hodnotenie'!F10</f>
        <v>0.47386834189547899</v>
      </c>
      <c r="D9" s="228">
        <f>'ŠS_základné hodnotenie'!G10</f>
        <v>1.0601262970150982</v>
      </c>
      <c r="E9" s="223">
        <v>0.23819694525047685</v>
      </c>
      <c r="F9" s="228">
        <v>1.2675332574184874</v>
      </c>
      <c r="G9" s="212">
        <f t="shared" si="0"/>
        <v>0.23567139664500214</v>
      </c>
      <c r="H9" s="212">
        <f t="shared" si="0"/>
        <v>-0.20740696040338924</v>
      </c>
    </row>
    <row r="10" spans="2:10" x14ac:dyDescent="0.3">
      <c r="B10" s="211"/>
      <c r="C10" s="213"/>
      <c r="D10" s="213"/>
      <c r="E10" s="213"/>
      <c r="F10" s="213"/>
      <c r="G10" s="454" t="s">
        <v>22</v>
      </c>
      <c r="H10" s="454"/>
    </row>
    <row r="11" spans="2:10" x14ac:dyDescent="0.3">
      <c r="E11" s="39"/>
      <c r="F11" s="39"/>
    </row>
  </sheetData>
  <mergeCells count="5">
    <mergeCell ref="B2:H2"/>
    <mergeCell ref="C3:D3"/>
    <mergeCell ref="E3:F3"/>
    <mergeCell ref="G3:H3"/>
    <mergeCell ref="G10:H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N18"/>
  <sheetViews>
    <sheetView showGridLines="0" zoomScale="90" zoomScaleNormal="90" workbookViewId="0">
      <selection activeCell="B3" sqref="B3"/>
    </sheetView>
  </sheetViews>
  <sheetFormatPr defaultColWidth="9.109375" defaultRowHeight="13.8" x14ac:dyDescent="0.3"/>
  <cols>
    <col min="1" max="1" width="10" style="17" customWidth="1"/>
    <col min="2" max="2" width="83.5546875" style="17" customWidth="1"/>
    <col min="3" max="3" width="9.33203125" style="17" customWidth="1"/>
    <col min="4" max="5" width="6.5546875" style="17" hidden="1" customWidth="1"/>
    <col min="6" max="10" width="6.5546875" style="17" customWidth="1"/>
    <col min="11" max="11" width="2.88671875" style="17" bestFit="1" customWidth="1"/>
    <col min="12" max="13" width="6.5546875" style="17" customWidth="1"/>
    <col min="14" max="14" width="22.109375" style="17" customWidth="1"/>
    <col min="15" max="15" width="17.5546875" style="17" customWidth="1"/>
    <col min="16" max="16" width="8.6640625" style="17" customWidth="1"/>
    <col min="17" max="16384" width="9.109375" style="17"/>
  </cols>
  <sheetData>
    <row r="2" spans="2:14" ht="14.4" thickBot="1" x14ac:dyDescent="0.35">
      <c r="B2" s="35" t="s">
        <v>425</v>
      </c>
      <c r="C2" s="388"/>
      <c r="D2" s="35"/>
      <c r="E2" s="35"/>
      <c r="F2" s="35"/>
      <c r="G2" s="35"/>
      <c r="H2" s="395"/>
      <c r="I2" s="23"/>
    </row>
    <row r="3" spans="2:14" ht="19.5" customHeight="1" thickBot="1" x14ac:dyDescent="0.35">
      <c r="B3" s="13"/>
      <c r="C3" s="389"/>
      <c r="D3" s="24">
        <v>2013</v>
      </c>
      <c r="E3" s="24">
        <v>2014</v>
      </c>
      <c r="F3" s="24">
        <v>2015</v>
      </c>
      <c r="G3" s="24">
        <v>2016</v>
      </c>
      <c r="H3" s="24">
        <v>2017</v>
      </c>
      <c r="I3" s="23"/>
      <c r="K3" s="455"/>
      <c r="L3" s="455"/>
      <c r="M3" s="455"/>
      <c r="N3" s="455"/>
    </row>
    <row r="4" spans="2:14" x14ac:dyDescent="0.3">
      <c r="B4" s="73" t="s">
        <v>27</v>
      </c>
      <c r="C4" s="392" t="s">
        <v>390</v>
      </c>
      <c r="D4" s="145"/>
      <c r="E4" s="145">
        <v>163.887</v>
      </c>
      <c r="F4" s="186"/>
      <c r="G4" s="187"/>
      <c r="H4" s="187"/>
      <c r="I4" s="23"/>
      <c r="K4" s="260"/>
    </row>
    <row r="5" spans="2:14" x14ac:dyDescent="0.3">
      <c r="B5" s="73" t="s">
        <v>279</v>
      </c>
      <c r="C5" s="392" t="s">
        <v>391</v>
      </c>
      <c r="D5" s="145">
        <v>-5.7880000000000003</v>
      </c>
      <c r="E5" s="145">
        <v>-5.7880000000000003</v>
      </c>
      <c r="F5" s="188">
        <v>-5.7880000000000003</v>
      </c>
      <c r="G5" s="181">
        <v>-5.7880000000000003</v>
      </c>
      <c r="H5" s="181">
        <v>-5.7880000000000003</v>
      </c>
      <c r="I5" s="23"/>
      <c r="K5" s="260"/>
    </row>
    <row r="6" spans="2:14" x14ac:dyDescent="0.3">
      <c r="B6" s="180" t="s">
        <v>294</v>
      </c>
      <c r="C6" s="392" t="s">
        <v>390</v>
      </c>
      <c r="D6" s="145"/>
      <c r="E6" s="145">
        <v>44.656999999999996</v>
      </c>
      <c r="F6" s="188"/>
      <c r="G6" s="181"/>
      <c r="H6" s="181"/>
      <c r="I6" s="23"/>
      <c r="K6" s="260"/>
    </row>
    <row r="7" spans="2:14" x14ac:dyDescent="0.3">
      <c r="B7" s="73" t="s">
        <v>28</v>
      </c>
      <c r="C7" s="392" t="s">
        <v>390</v>
      </c>
      <c r="D7" s="145">
        <v>19.5</v>
      </c>
      <c r="E7" s="145">
        <v>19.5</v>
      </c>
      <c r="F7" s="189"/>
      <c r="G7" s="190"/>
      <c r="H7" s="190"/>
      <c r="I7" s="23"/>
      <c r="K7" s="260"/>
    </row>
    <row r="8" spans="2:14" x14ac:dyDescent="0.3">
      <c r="B8" s="74" t="s">
        <v>29</v>
      </c>
      <c r="C8" s="392" t="s">
        <v>390</v>
      </c>
      <c r="D8" s="75">
        <v>117.24452688999176</v>
      </c>
      <c r="E8" s="75">
        <v>-9.1888249356441491</v>
      </c>
      <c r="F8" s="191">
        <v>12.147587373735428</v>
      </c>
      <c r="G8" s="182">
        <v>-37.761691999999805</v>
      </c>
      <c r="H8" s="182">
        <v>8.1972580000003799</v>
      </c>
      <c r="I8" s="23"/>
      <c r="K8" s="260"/>
    </row>
    <row r="9" spans="2:14" ht="15" customHeight="1" x14ac:dyDescent="0.3">
      <c r="B9" s="73" t="s">
        <v>30</v>
      </c>
      <c r="C9" s="392" t="s">
        <v>390</v>
      </c>
      <c r="D9" s="75">
        <v>30.34</v>
      </c>
      <c r="E9" s="75">
        <v>48.088000000000001</v>
      </c>
      <c r="F9" s="189"/>
      <c r="G9" s="190"/>
      <c r="H9" s="190"/>
      <c r="I9" s="23"/>
      <c r="K9" s="260"/>
    </row>
    <row r="10" spans="2:14" x14ac:dyDescent="0.3">
      <c r="B10" s="73" t="s">
        <v>273</v>
      </c>
      <c r="C10" s="392" t="s">
        <v>391</v>
      </c>
      <c r="D10" s="75"/>
      <c r="E10" s="145"/>
      <c r="F10" s="189"/>
      <c r="G10" s="192">
        <v>-46.1065282</v>
      </c>
      <c r="H10" s="192"/>
      <c r="I10" s="23"/>
      <c r="K10" s="260"/>
    </row>
    <row r="11" spans="2:14" x14ac:dyDescent="0.3">
      <c r="B11" s="73" t="s">
        <v>31</v>
      </c>
      <c r="C11" s="392" t="s">
        <v>391</v>
      </c>
      <c r="D11" s="75">
        <v>-8.08</v>
      </c>
      <c r="E11" s="145">
        <v>-58.452266829999999</v>
      </c>
      <c r="F11" s="189"/>
      <c r="G11" s="192"/>
      <c r="H11" s="192"/>
      <c r="I11" s="23"/>
      <c r="K11" s="260"/>
    </row>
    <row r="12" spans="2:14" x14ac:dyDescent="0.3">
      <c r="B12" s="382" t="s">
        <v>386</v>
      </c>
      <c r="C12" s="393" t="s">
        <v>390</v>
      </c>
      <c r="D12" s="80"/>
      <c r="E12" s="146"/>
      <c r="F12" s="193"/>
      <c r="G12" s="383">
        <v>-26.1</v>
      </c>
      <c r="H12" s="183"/>
      <c r="I12" s="23"/>
      <c r="K12" s="260"/>
    </row>
    <row r="13" spans="2:14" ht="14.4" thickBot="1" x14ac:dyDescent="0.35">
      <c r="B13" s="76" t="s">
        <v>32</v>
      </c>
      <c r="C13" s="390"/>
      <c r="D13" s="77">
        <f>SUM(D4:D12)</f>
        <v>153.21652688999174</v>
      </c>
      <c r="E13" s="77">
        <f>SUM(E4:E12)</f>
        <v>202.70290823435585</v>
      </c>
      <c r="F13" s="194">
        <f>SUM(F4:F12)</f>
        <v>6.3595873737354278</v>
      </c>
      <c r="G13" s="184">
        <f>SUM(G4:G12)</f>
        <v>-115.7562201999998</v>
      </c>
      <c r="H13" s="184">
        <f>SUM(H4:H12)</f>
        <v>2.4092580000003796</v>
      </c>
      <c r="I13" s="23"/>
    </row>
    <row r="14" spans="2:14" ht="14.4" thickBot="1" x14ac:dyDescent="0.35">
      <c r="B14" s="78" t="s">
        <v>33</v>
      </c>
      <c r="C14" s="391"/>
      <c r="D14" s="79">
        <f>D13/ESA2010_source!I90*100</f>
        <v>0.20657515065448706</v>
      </c>
      <c r="E14" s="79">
        <f>E13/ESA2010_source!J90*100</f>
        <v>0.26640662174367535</v>
      </c>
      <c r="F14" s="195">
        <f>F13/ESA2010_source!K90*100</f>
        <v>8.0360483288666289E-3</v>
      </c>
      <c r="G14" s="185">
        <f>G13/ESA2010_source!L90*100</f>
        <v>-0.14251116165618372</v>
      </c>
      <c r="H14" s="185">
        <f>H13/ESA2010_source!M90*100</f>
        <v>2.8394026913622357E-3</v>
      </c>
      <c r="I14" s="287"/>
    </row>
    <row r="15" spans="2:14" x14ac:dyDescent="0.3">
      <c r="B15" s="384" t="s">
        <v>387</v>
      </c>
      <c r="C15" s="384"/>
      <c r="G15" s="385">
        <f>SUMIFS(G4:G12,$C$4:$C$12,"=P")</f>
        <v>-63.861691999999806</v>
      </c>
      <c r="H15" s="385">
        <f>SUMIFS(H4:H12,$C$4:$C$12,"=P")</f>
        <v>8.1972580000003799</v>
      </c>
      <c r="I15" s="23"/>
    </row>
    <row r="16" spans="2:14" x14ac:dyDescent="0.3">
      <c r="B16" s="386" t="s">
        <v>388</v>
      </c>
      <c r="C16" s="386"/>
      <c r="D16" s="23"/>
      <c r="E16" s="23"/>
      <c r="F16" s="23"/>
      <c r="G16" s="387">
        <f>SUMIFS(G4:G12,$C$4:$C$12,"=P_DRM")</f>
        <v>0</v>
      </c>
      <c r="H16" s="387">
        <f>SUMIFS(H4:H12,$C$4:$C$12,"=P_DRM")</f>
        <v>0</v>
      </c>
      <c r="I16" s="23"/>
    </row>
    <row r="17" spans="2:9" ht="14.4" thickBot="1" x14ac:dyDescent="0.35">
      <c r="B17" s="394" t="s">
        <v>389</v>
      </c>
      <c r="C17" s="394"/>
      <c r="D17" s="395"/>
      <c r="E17" s="395"/>
      <c r="F17" s="395"/>
      <c r="G17" s="396">
        <f>SUMIFS(G4:G12,$C$4:$C$12,"=V")</f>
        <v>-51.894528199999996</v>
      </c>
      <c r="H17" s="396">
        <f>SUMIFS(H4:H12,$C$4:$C$12,"=V")</f>
        <v>-5.7880000000000003</v>
      </c>
      <c r="I17" s="23"/>
    </row>
    <row r="18" spans="2:9" x14ac:dyDescent="0.3">
      <c r="B18" s="17" t="s">
        <v>392</v>
      </c>
      <c r="F18" s="454" t="s">
        <v>22</v>
      </c>
      <c r="G18" s="454"/>
      <c r="H18" s="454"/>
    </row>
  </sheetData>
  <mergeCells count="2">
    <mergeCell ref="K3:N3"/>
    <mergeCell ref="F18:H18"/>
  </mergeCells>
  <dataValidations count="1">
    <dataValidation type="list" errorStyle="warning" allowBlank="1" showErrorMessage="1" errorTitle="Chyba" error="Zadaj typ One-off." promptTitle="Typ One-Off" prompt="Prijmový? Výdavkový? DRM?" sqref="C4:C12">
      <formula1>$J$3:$J$5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J30"/>
  <sheetViews>
    <sheetView showGridLines="0" showWhiteSpace="0" zoomScale="90" zoomScaleNormal="90" workbookViewId="0">
      <selection activeCell="F12" sqref="F12"/>
    </sheetView>
  </sheetViews>
  <sheetFormatPr defaultColWidth="9.109375" defaultRowHeight="13.8" x14ac:dyDescent="0.3"/>
  <cols>
    <col min="1" max="1" width="11.5546875" style="17" customWidth="1"/>
    <col min="2" max="2" width="66" style="17" customWidth="1"/>
    <col min="3" max="4" width="9.6640625" style="17" customWidth="1"/>
    <col min="5" max="16384" width="9.109375" style="17"/>
  </cols>
  <sheetData>
    <row r="2" spans="2:10" ht="14.4" x14ac:dyDescent="0.3">
      <c r="B2"/>
      <c r="C2"/>
      <c r="D2"/>
      <c r="E2"/>
      <c r="F2"/>
      <c r="G2"/>
      <c r="H2"/>
      <c r="I2"/>
      <c r="J2"/>
    </row>
    <row r="3" spans="2:10" ht="15" thickBot="1" x14ac:dyDescent="0.35">
      <c r="B3" s="456" t="s">
        <v>420</v>
      </c>
      <c r="C3" s="456"/>
      <c r="D3" s="456"/>
      <c r="E3"/>
      <c r="F3"/>
      <c r="G3"/>
      <c r="H3"/>
      <c r="I3"/>
      <c r="J3"/>
    </row>
    <row r="4" spans="2:10" ht="15" thickBot="1" x14ac:dyDescent="0.35">
      <c r="B4" s="461"/>
      <c r="C4" s="462" t="s">
        <v>14</v>
      </c>
      <c r="D4" s="462" t="s">
        <v>1</v>
      </c>
      <c r="E4"/>
      <c r="F4"/>
      <c r="G4"/>
      <c r="H4"/>
      <c r="I4"/>
      <c r="J4"/>
    </row>
    <row r="5" spans="2:10" ht="15" thickBot="1" x14ac:dyDescent="0.35">
      <c r="B5" s="463" t="s">
        <v>15</v>
      </c>
      <c r="C5" s="464">
        <v>374.43137933999907</v>
      </c>
      <c r="D5" s="465">
        <v>0.44128170010364193</v>
      </c>
      <c r="E5"/>
      <c r="F5"/>
      <c r="G5"/>
      <c r="H5"/>
      <c r="I5"/>
      <c r="J5"/>
    </row>
    <row r="6" spans="2:10" ht="14.4" x14ac:dyDescent="0.3">
      <c r="B6" s="466" t="s">
        <v>16</v>
      </c>
      <c r="C6" s="467">
        <v>165.43060633999997</v>
      </c>
      <c r="D6" s="468">
        <v>0.19496629621045503</v>
      </c>
      <c r="E6"/>
      <c r="F6"/>
      <c r="G6"/>
      <c r="H6"/>
      <c r="I6"/>
      <c r="J6"/>
    </row>
    <row r="7" spans="2:10" ht="14.4" x14ac:dyDescent="0.3">
      <c r="B7" s="469" t="s">
        <v>427</v>
      </c>
      <c r="C7" s="470">
        <v>188.73500000000001</v>
      </c>
      <c r="D7" s="471">
        <v>0.22243141537941027</v>
      </c>
      <c r="E7"/>
      <c r="F7"/>
      <c r="G7"/>
      <c r="H7"/>
      <c r="I7"/>
      <c r="J7"/>
    </row>
    <row r="8" spans="2:10" ht="14.4" x14ac:dyDescent="0.3">
      <c r="B8" s="469" t="s">
        <v>428</v>
      </c>
      <c r="C8" s="470">
        <v>62.335999999999999</v>
      </c>
      <c r="D8" s="471">
        <v>7.3465359944318312E-2</v>
      </c>
      <c r="E8"/>
      <c r="F8"/>
      <c r="G8"/>
      <c r="H8"/>
      <c r="I8"/>
      <c r="J8"/>
    </row>
    <row r="9" spans="2:10" ht="14.4" x14ac:dyDescent="0.3">
      <c r="B9" s="469" t="s">
        <v>429</v>
      </c>
      <c r="C9" s="470">
        <v>29.565999999999999</v>
      </c>
      <c r="D9" s="471">
        <v>3.4844661706136343E-2</v>
      </c>
      <c r="E9"/>
      <c r="F9"/>
      <c r="G9"/>
      <c r="H9"/>
      <c r="I9"/>
      <c r="J9"/>
    </row>
    <row r="10" spans="2:10" ht="14.4" x14ac:dyDescent="0.3">
      <c r="B10" s="469" t="s">
        <v>430</v>
      </c>
      <c r="C10" s="470">
        <v>-121.34099999999999</v>
      </c>
      <c r="D10" s="471">
        <v>-0.14300500899967158</v>
      </c>
      <c r="E10"/>
      <c r="F10"/>
      <c r="G10"/>
      <c r="H10"/>
      <c r="I10"/>
      <c r="J10"/>
    </row>
    <row r="11" spans="2:10" ht="14.4" x14ac:dyDescent="0.3">
      <c r="B11" s="466" t="s">
        <v>17</v>
      </c>
      <c r="C11" s="467">
        <v>161.79078999999911</v>
      </c>
      <c r="D11" s="468">
        <v>0.19067663345459365</v>
      </c>
      <c r="E11"/>
      <c r="F11"/>
      <c r="G11"/>
      <c r="H11"/>
      <c r="I11"/>
      <c r="J11"/>
    </row>
    <row r="12" spans="2:10" ht="14.4" x14ac:dyDescent="0.3">
      <c r="B12" s="469" t="s">
        <v>431</v>
      </c>
      <c r="C12" s="470">
        <v>90.4</v>
      </c>
      <c r="D12" s="471">
        <v>0.10653985720877786</v>
      </c>
      <c r="E12"/>
      <c r="F12"/>
      <c r="G12"/>
      <c r="H12"/>
      <c r="I12"/>
      <c r="J12"/>
    </row>
    <row r="13" spans="2:10" ht="14.4" x14ac:dyDescent="0.3">
      <c r="B13" s="469" t="s">
        <v>432</v>
      </c>
      <c r="C13" s="470">
        <v>70.444000000000003</v>
      </c>
      <c r="D13" s="471">
        <v>8.3020948022291444E-2</v>
      </c>
      <c r="E13"/>
      <c r="F13"/>
      <c r="G13"/>
      <c r="H13"/>
      <c r="I13"/>
      <c r="J13"/>
    </row>
    <row r="14" spans="2:10" ht="14.4" x14ac:dyDescent="0.3">
      <c r="B14" s="466" t="s">
        <v>18</v>
      </c>
      <c r="C14" s="467">
        <v>47.209983000000008</v>
      </c>
      <c r="D14" s="468">
        <v>5.5638770438593263E-2</v>
      </c>
      <c r="E14"/>
      <c r="F14"/>
      <c r="G14"/>
      <c r="H14"/>
      <c r="I14"/>
      <c r="J14"/>
    </row>
    <row r="15" spans="2:10" ht="15" thickBot="1" x14ac:dyDescent="0.35">
      <c r="B15" s="480" t="s">
        <v>433</v>
      </c>
      <c r="C15" s="481">
        <v>30</v>
      </c>
      <c r="D15" s="482">
        <v>3.5356147303797957E-2</v>
      </c>
      <c r="E15"/>
      <c r="F15"/>
      <c r="G15"/>
      <c r="H15"/>
      <c r="I15"/>
      <c r="J15"/>
    </row>
    <row r="16" spans="2:10" ht="14.4" thickBot="1" x14ac:dyDescent="0.35">
      <c r="B16" s="463" t="s">
        <v>19</v>
      </c>
      <c r="C16" s="464">
        <v>436.79656590000297</v>
      </c>
      <c r="D16" s="474">
        <v>0.51478145752511983</v>
      </c>
    </row>
    <row r="17" spans="2:4" x14ac:dyDescent="0.3">
      <c r="B17" s="466" t="s">
        <v>164</v>
      </c>
      <c r="C17" s="467">
        <v>41.268356000001539</v>
      </c>
      <c r="D17" s="468">
        <v>4.863633579072095E-2</v>
      </c>
    </row>
    <row r="18" spans="2:4" x14ac:dyDescent="0.3">
      <c r="B18" s="466" t="s">
        <v>173</v>
      </c>
      <c r="C18" s="467">
        <v>430.45557400000189</v>
      </c>
      <c r="D18" s="468">
        <v>0.50730835606949898</v>
      </c>
    </row>
    <row r="19" spans="2:4" x14ac:dyDescent="0.3">
      <c r="B19" s="469" t="s">
        <v>434</v>
      </c>
      <c r="C19" s="470">
        <v>132.15132700000004</v>
      </c>
      <c r="D19" s="471">
        <v>0.15574539279347913</v>
      </c>
    </row>
    <row r="20" spans="2:4" x14ac:dyDescent="0.3">
      <c r="B20" s="469" t="s">
        <v>435</v>
      </c>
      <c r="C20" s="470">
        <v>105.826927</v>
      </c>
      <c r="D20" s="471">
        <v>0.12472108065734243</v>
      </c>
    </row>
    <row r="21" spans="2:4" x14ac:dyDescent="0.3">
      <c r="B21" s="469" t="s">
        <v>436</v>
      </c>
      <c r="C21" s="470">
        <v>78.780152000000058</v>
      </c>
      <c r="D21" s="471">
        <v>9.2845421957586508E-2</v>
      </c>
    </row>
    <row r="22" spans="2:4" x14ac:dyDescent="0.3">
      <c r="B22" s="469" t="s">
        <v>437</v>
      </c>
      <c r="C22" s="470">
        <v>37.203516999999991</v>
      </c>
      <c r="D22" s="471">
        <v>4.3845767575711701E-2</v>
      </c>
    </row>
    <row r="23" spans="2:4" x14ac:dyDescent="0.3">
      <c r="B23" s="469" t="s">
        <v>438</v>
      </c>
      <c r="C23" s="470">
        <v>23.720489999999991</v>
      </c>
      <c r="D23" s="471">
        <v>2.7955504618608872E-2</v>
      </c>
    </row>
    <row r="24" spans="2:4" x14ac:dyDescent="0.3">
      <c r="B24" s="466" t="s">
        <v>439</v>
      </c>
      <c r="C24" s="467">
        <v>-177.9896520999996</v>
      </c>
      <c r="D24" s="475">
        <v>-0.20976761193997792</v>
      </c>
    </row>
    <row r="25" spans="2:4" x14ac:dyDescent="0.3">
      <c r="B25" s="469" t="s">
        <v>440</v>
      </c>
      <c r="C25" s="470">
        <v>-157.61165209999959</v>
      </c>
      <c r="D25" s="471">
        <v>-0.18575135961475139</v>
      </c>
    </row>
    <row r="26" spans="2:4" x14ac:dyDescent="0.3">
      <c r="B26" s="466" t="s">
        <v>246</v>
      </c>
      <c r="C26" s="467">
        <v>143.06228799999914</v>
      </c>
      <c r="D26" s="468">
        <v>0.16860437760487787</v>
      </c>
    </row>
    <row r="27" spans="2:4" ht="14.4" thickBot="1" x14ac:dyDescent="0.35">
      <c r="B27" s="469" t="s">
        <v>441</v>
      </c>
      <c r="C27" s="470">
        <v>111.69199999999999</v>
      </c>
      <c r="D27" s="468">
        <v>0.1316332934885267</v>
      </c>
    </row>
    <row r="28" spans="2:4" ht="14.4" thickBot="1" x14ac:dyDescent="0.35">
      <c r="B28" s="472" t="s">
        <v>42</v>
      </c>
      <c r="C28" s="473">
        <v>-62.365186560003906</v>
      </c>
      <c r="D28" s="476">
        <v>-7.3499757421477907E-2</v>
      </c>
    </row>
    <row r="29" spans="2:4" x14ac:dyDescent="0.3">
      <c r="B29" s="477" t="s">
        <v>20</v>
      </c>
      <c r="C29" s="478" t="s">
        <v>21</v>
      </c>
      <c r="D29" s="478"/>
    </row>
    <row r="30" spans="2:4" x14ac:dyDescent="0.3">
      <c r="B30" s="477" t="s">
        <v>442</v>
      </c>
      <c r="C30" s="479"/>
      <c r="D30" s="479"/>
    </row>
  </sheetData>
  <mergeCells count="2">
    <mergeCell ref="B3:D3"/>
    <mergeCell ref="C29:D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Obsah</vt:lpstr>
      <vt:lpstr>Sumárna tabuľka</vt:lpstr>
      <vt:lpstr>ŠS_základné hodnotenie</vt:lpstr>
      <vt:lpstr>ŠS_celkové hodnotenie</vt:lpstr>
      <vt:lpstr>VP_základné hodnotenie</vt:lpstr>
      <vt:lpstr>VP_celkové hodnotenie</vt:lpstr>
      <vt:lpstr>FK vs EK</vt:lpstr>
      <vt:lpstr>One-offs</vt:lpstr>
      <vt:lpstr>NPC</vt:lpstr>
      <vt:lpstr>DRM</vt:lpstr>
      <vt:lpstr>Výdavky z EÚ fondov</vt:lpstr>
      <vt:lpstr>Rozhodovacia_Matica</vt:lpstr>
      <vt:lpstr>ESA2010_source</vt:lpstr>
      <vt:lpstr>'Výdavky z EÚ fondov'!_ftnref1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2018-11-19T13:29:46Z</dcterms:modified>
</cp:coreProperties>
</file>