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ento_zošit"/>
  <bookViews>
    <workbookView xWindow="240" yWindow="105" windowWidth="14805" windowHeight="8010"/>
  </bookViews>
  <sheets>
    <sheet name="Obsah" sheetId="9" r:id="rId1"/>
    <sheet name="Celkove hodnotenie" sheetId="2" r:id="rId2"/>
    <sheet name="ŠS" sheetId="3" r:id="rId3"/>
    <sheet name="ŠS_faktory" sheetId="5" r:id="rId4"/>
    <sheet name="Cyklická zložka" sheetId="13" r:id="rId5"/>
    <sheet name="VP" sheetId="1" r:id="rId6"/>
    <sheet name="VP_faktory" sheetId="6" r:id="rId7"/>
    <sheet name="FK vs EK" sheetId="12" r:id="rId8"/>
    <sheet name="One-offs" sheetId="7" r:id="rId9"/>
    <sheet name="NPC" sheetId="4" r:id="rId10"/>
    <sheet name="DRM" sheetId="8" r:id="rId11"/>
    <sheet name="Výdavky z EÚ fondov" sheetId="15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ftn1" localSheetId="11">'Výdavky z EÚ fondov'!#REF!</definedName>
    <definedName name="_ftnref1" localSheetId="11">'Výdavky z EÚ fondov'!$B$15</definedName>
  </definedNames>
  <calcPr calcId="152511"/>
</workbook>
</file>

<file path=xl/calcChain.xml><?xml version="1.0" encoding="utf-8"?>
<calcChain xmlns="http://schemas.openxmlformats.org/spreadsheetml/2006/main">
  <c r="H27" i="2" l="1"/>
  <c r="F6" i="5" l="1"/>
  <c r="D6" i="5"/>
  <c r="E6" i="5"/>
  <c r="C6" i="5"/>
  <c r="E53" i="1"/>
  <c r="F53" i="1"/>
  <c r="G53" i="1"/>
  <c r="H53" i="1"/>
  <c r="I53" i="1"/>
  <c r="J53" i="1"/>
  <c r="D53" i="1"/>
  <c r="C28" i="15"/>
  <c r="D28" i="15"/>
  <c r="E28" i="15"/>
  <c r="F28" i="15"/>
  <c r="G28" i="15"/>
  <c r="H28" i="15"/>
  <c r="I28" i="15"/>
  <c r="C29" i="15"/>
  <c r="D29" i="15"/>
  <c r="E29" i="15"/>
  <c r="F29" i="15"/>
  <c r="G29" i="15"/>
  <c r="H29" i="15"/>
  <c r="I29" i="15"/>
  <c r="D27" i="15"/>
  <c r="E27" i="15"/>
  <c r="F27" i="15"/>
  <c r="G27" i="15"/>
  <c r="H27" i="15"/>
  <c r="I27" i="15"/>
  <c r="C27" i="15"/>
  <c r="C24" i="15"/>
  <c r="D24" i="15"/>
  <c r="E24" i="15"/>
  <c r="F24" i="15"/>
  <c r="G24" i="15"/>
  <c r="H24" i="15"/>
  <c r="I24" i="15"/>
  <c r="D23" i="15"/>
  <c r="E23" i="15"/>
  <c r="F23" i="15"/>
  <c r="G23" i="15"/>
  <c r="H23" i="15"/>
  <c r="I23" i="15"/>
  <c r="C23" i="15"/>
  <c r="D22" i="15"/>
  <c r="E22" i="15"/>
  <c r="F22" i="15"/>
  <c r="G22" i="15"/>
  <c r="H22" i="15"/>
  <c r="I22" i="15"/>
  <c r="C22" i="15"/>
  <c r="E23" i="6" l="1"/>
  <c r="Q52" i="1" l="1"/>
  <c r="F8" i="12" l="1"/>
  <c r="E8" i="12"/>
  <c r="F9" i="12" s="1"/>
  <c r="L52" i="1"/>
  <c r="F12" i="1"/>
  <c r="C12" i="1"/>
  <c r="D11" i="1" l="1"/>
  <c r="C11" i="1"/>
  <c r="F11" i="1"/>
  <c r="D12" i="1"/>
  <c r="H56" i="1"/>
  <c r="D56" i="1"/>
  <c r="L54" i="1"/>
  <c r="L56" i="1" s="1"/>
  <c r="P55" i="1"/>
  <c r="O54" i="1"/>
  <c r="G56" i="1"/>
  <c r="L55" i="1"/>
  <c r="E56" i="1"/>
  <c r="D14" i="1" s="1"/>
  <c r="J56" i="1"/>
  <c r="F56" i="1"/>
  <c r="C14" i="1" l="1"/>
  <c r="L53" i="1"/>
  <c r="D13" i="1"/>
  <c r="F13" i="1"/>
  <c r="C13" i="1"/>
  <c r="E11" i="1"/>
  <c r="E12" i="1"/>
  <c r="Q54" i="1" l="1"/>
  <c r="I56" i="1"/>
  <c r="E14" i="1" l="1"/>
  <c r="F14" i="1"/>
  <c r="E13" i="1"/>
  <c r="Q56" i="1"/>
  <c r="C17" i="4" l="1"/>
  <c r="C12" i="4"/>
  <c r="C5" i="4"/>
  <c r="C4" i="4" l="1"/>
  <c r="C23" i="4" s="1"/>
  <c r="R52" i="1"/>
  <c r="E22" i="1" l="1"/>
  <c r="D15" i="1" l="1"/>
  <c r="M52" i="1"/>
  <c r="P52" i="1"/>
  <c r="O52" i="1"/>
  <c r="N52" i="1"/>
  <c r="M55" i="1" l="1"/>
  <c r="Q55" i="1" l="1"/>
  <c r="Q53" i="1" s="1"/>
  <c r="N55" i="1" l="1"/>
  <c r="O55" i="1"/>
  <c r="R55" i="1" l="1"/>
  <c r="M54" i="1"/>
  <c r="M56" i="1" l="1"/>
  <c r="M53" i="1"/>
  <c r="P54" i="1"/>
  <c r="P56" i="1" s="1"/>
  <c r="N54" i="1"/>
  <c r="P53" i="1" l="1"/>
  <c r="O53" i="1"/>
  <c r="O56" i="1"/>
  <c r="N53" i="1"/>
  <c r="N56" i="1"/>
  <c r="R54" i="1" l="1"/>
  <c r="R56" i="1" s="1"/>
  <c r="R53" i="1" l="1"/>
  <c r="C11" i="13" l="1"/>
  <c r="F15" i="1"/>
  <c r="E15" i="1"/>
  <c r="C15" i="1"/>
  <c r="F11" i="13"/>
  <c r="D24" i="1" l="1"/>
  <c r="E24" i="1"/>
  <c r="F24" i="1"/>
  <c r="E20" i="1"/>
  <c r="F20" i="1"/>
  <c r="D20" i="1"/>
  <c r="D21" i="7" l="1"/>
  <c r="E21" i="7"/>
  <c r="F21" i="7"/>
  <c r="C21" i="7"/>
  <c r="F20" i="7"/>
  <c r="E20" i="7"/>
  <c r="E22" i="7" s="1"/>
  <c r="E10" i="7" s="1"/>
  <c r="D20" i="7"/>
  <c r="C20" i="7"/>
  <c r="C22" i="7" l="1"/>
  <c r="C10" i="7" s="1"/>
  <c r="C14" i="7" s="1"/>
  <c r="F22" i="7"/>
  <c r="F10" i="7" s="1"/>
  <c r="D22" i="7"/>
  <c r="D10" i="7" s="1"/>
  <c r="D23" i="6" l="1"/>
  <c r="F34" i="3"/>
  <c r="E34" i="3"/>
  <c r="D34" i="3"/>
  <c r="D7" i="1" s="1"/>
  <c r="C34" i="3"/>
  <c r="C7" i="1" s="1"/>
  <c r="F36" i="3"/>
  <c r="F9" i="1" s="1"/>
  <c r="E36" i="3"/>
  <c r="E9" i="1" s="1"/>
  <c r="D36" i="3"/>
  <c r="D9" i="1" s="1"/>
  <c r="C36" i="3"/>
  <c r="C9" i="1" s="1"/>
  <c r="F35" i="3"/>
  <c r="F31" i="3" s="1"/>
  <c r="E35" i="3"/>
  <c r="D35" i="3"/>
  <c r="C35" i="3"/>
  <c r="D11" i="4" l="1"/>
  <c r="D22" i="4"/>
  <c r="D8" i="4"/>
  <c r="D14" i="4"/>
  <c r="F7" i="1"/>
  <c r="D19" i="4"/>
  <c r="D18" i="4"/>
  <c r="D9" i="4"/>
  <c r="D15" i="4"/>
  <c r="D20" i="4"/>
  <c r="D6" i="4"/>
  <c r="D10" i="4"/>
  <c r="D16" i="4"/>
  <c r="D21" i="4"/>
  <c r="D7" i="4"/>
  <c r="D13" i="4"/>
  <c r="D5" i="4"/>
  <c r="D12" i="4"/>
  <c r="D24" i="6"/>
  <c r="E7" i="1"/>
  <c r="F32" i="3"/>
  <c r="F33" i="3" s="1"/>
  <c r="F4" i="3" s="1"/>
  <c r="C24" i="6"/>
  <c r="C17" i="6"/>
  <c r="C6" i="6" s="1"/>
  <c r="E24" i="6"/>
  <c r="C31" i="3"/>
  <c r="D17" i="4" l="1"/>
  <c r="D4" i="4"/>
  <c r="D5" i="3"/>
  <c r="E5" i="3"/>
  <c r="F5" i="3"/>
  <c r="C5" i="3"/>
  <c r="D23" i="4" l="1"/>
  <c r="F22" i="1"/>
  <c r="D22" i="1"/>
  <c r="C18" i="1" l="1"/>
  <c r="F18" i="1" l="1"/>
  <c r="E18" i="1"/>
  <c r="I27" i="2" l="1"/>
  <c r="E26" i="2" l="1"/>
  <c r="G26" i="2" s="1"/>
  <c r="D31" i="3" l="1"/>
  <c r="E31" i="3"/>
  <c r="C32" i="3"/>
  <c r="C33" i="3" s="1"/>
  <c r="C4" i="3" s="1"/>
  <c r="D32" i="3"/>
  <c r="E32" i="3"/>
  <c r="D18" i="1" l="1"/>
  <c r="D10" i="8" l="1"/>
  <c r="C10" i="8"/>
  <c r="C38" i="8"/>
  <c r="D38" i="8"/>
  <c r="E38" i="8"/>
  <c r="F38" i="8"/>
  <c r="F14" i="7" l="1"/>
  <c r="E14" i="7"/>
  <c r="D14" i="7"/>
  <c r="E11" i="13" l="1"/>
  <c r="D11" i="13"/>
  <c r="D17" i="6" l="1"/>
  <c r="E17" i="6"/>
  <c r="D7" i="6" l="1"/>
  <c r="E7" i="6"/>
  <c r="C7" i="6"/>
  <c r="C8" i="6"/>
  <c r="D6" i="6"/>
  <c r="E8" i="6"/>
  <c r="D8" i="6"/>
  <c r="E6" i="6"/>
  <c r="D35" i="1" l="1"/>
  <c r="E35" i="1"/>
  <c r="F35" i="1"/>
  <c r="D36" i="1"/>
  <c r="E36" i="1"/>
  <c r="F36" i="1"/>
  <c r="E34" i="1"/>
  <c r="F34" i="1"/>
  <c r="D34" i="1"/>
  <c r="D6" i="12" l="1"/>
  <c r="H6" i="12" s="1"/>
  <c r="C6" i="12"/>
  <c r="G6" i="12" s="1"/>
  <c r="F15" i="7" l="1"/>
  <c r="E7" i="5" s="1"/>
  <c r="F7" i="5" s="1"/>
  <c r="E15" i="7"/>
  <c r="D7" i="5" s="1"/>
  <c r="D15" i="7"/>
  <c r="C15" i="7"/>
  <c r="C6" i="3" s="1"/>
  <c r="C7" i="3" s="1"/>
  <c r="C41" i="3" s="1"/>
  <c r="E33" i="3"/>
  <c r="E4" i="3" s="1"/>
  <c r="D33" i="3"/>
  <c r="D4" i="3" s="1"/>
  <c r="D6" i="3" l="1"/>
  <c r="C7" i="5"/>
  <c r="C9" i="3"/>
  <c r="C10" i="3" s="1"/>
  <c r="D41" i="3"/>
  <c r="C9" i="5" s="1"/>
  <c r="D7" i="3"/>
  <c r="F6" i="3"/>
  <c r="F7" i="3" s="1"/>
  <c r="E6" i="3"/>
  <c r="C5" i="12"/>
  <c r="G5" i="12" s="1"/>
  <c r="D5" i="12"/>
  <c r="H5" i="12" s="1"/>
  <c r="D9" i="3" l="1"/>
  <c r="D7" i="2" s="1"/>
  <c r="D42" i="3"/>
  <c r="D31" i="1" s="1"/>
  <c r="D25" i="1" s="1"/>
  <c r="C7" i="12"/>
  <c r="G7" i="12" s="1"/>
  <c r="E7" i="3"/>
  <c r="F8" i="3" s="1"/>
  <c r="D7" i="12"/>
  <c r="H7" i="12" s="1"/>
  <c r="J27" i="2"/>
  <c r="E41" i="3"/>
  <c r="E9" i="3" l="1"/>
  <c r="E7" i="2" s="1"/>
  <c r="E42" i="3"/>
  <c r="E31" i="1" s="1"/>
  <c r="D26" i="1"/>
  <c r="E8" i="3"/>
  <c r="C9" i="12" s="1"/>
  <c r="G9" i="12" s="1"/>
  <c r="E10" i="3"/>
  <c r="D10" i="3"/>
  <c r="F41" i="3"/>
  <c r="D9" i="5"/>
  <c r="C8" i="12"/>
  <c r="G8" i="12" s="1"/>
  <c r="D8" i="12"/>
  <c r="H8" i="12" s="1"/>
  <c r="D9" i="12"/>
  <c r="H9" i="12" s="1"/>
  <c r="D8" i="3"/>
  <c r="E25" i="1" l="1"/>
  <c r="E26" i="1" s="1"/>
  <c r="F42" i="3"/>
  <c r="F31" i="1" s="1"/>
  <c r="F9" i="3"/>
  <c r="F10" i="3" s="1"/>
  <c r="G41" i="3"/>
  <c r="E9" i="5"/>
  <c r="F9" i="5" s="1"/>
  <c r="F25" i="1" l="1"/>
  <c r="F26" i="1" s="1"/>
  <c r="G42" i="3"/>
  <c r="H42" i="3"/>
  <c r="F7" i="2"/>
  <c r="E28" i="2" s="1"/>
  <c r="G28" i="2" s="1"/>
  <c r="F5" i="2"/>
  <c r="E27" i="2" l="1"/>
  <c r="G27" i="2" s="1"/>
  <c r="F9" i="2"/>
  <c r="F10" i="2" s="1"/>
  <c r="F6" i="2"/>
  <c r="E29" i="2" l="1"/>
  <c r="G29" i="2" s="1"/>
  <c r="G8" i="8"/>
  <c r="J37" i="8"/>
  <c r="J36" i="8"/>
  <c r="J35" i="8"/>
  <c r="J34" i="8"/>
  <c r="J33" i="8"/>
  <c r="J32" i="8"/>
  <c r="J30" i="8"/>
  <c r="I28" i="8"/>
  <c r="I27" i="8"/>
  <c r="I26" i="8"/>
  <c r="I25" i="8"/>
  <c r="I23" i="8"/>
  <c r="H22" i="8"/>
  <c r="H21" i="8"/>
  <c r="H20" i="8"/>
  <c r="H19" i="8"/>
  <c r="H18" i="8"/>
  <c r="H17" i="8"/>
  <c r="H16" i="8"/>
  <c r="G16" i="8"/>
  <c r="H15" i="8"/>
  <c r="G15" i="8"/>
  <c r="H14" i="8"/>
  <c r="G14" i="8"/>
  <c r="J13" i="8"/>
  <c r="I12" i="8"/>
  <c r="H9" i="8"/>
  <c r="G9" i="8"/>
  <c r="H7" i="8"/>
  <c r="G7" i="8"/>
  <c r="H38" i="8" l="1"/>
  <c r="H11" i="8"/>
  <c r="I38" i="8"/>
  <c r="G38" i="8"/>
  <c r="G11" i="8"/>
  <c r="J31" i="8"/>
  <c r="J38" i="8" l="1"/>
  <c r="H10" i="8"/>
  <c r="G10" i="8"/>
  <c r="D4" i="5" l="1"/>
  <c r="E4" i="5"/>
  <c r="F5" i="5" s="1"/>
  <c r="C4" i="5"/>
  <c r="F8" i="5" l="1"/>
  <c r="F10" i="5" s="1"/>
  <c r="F18" i="2" s="1"/>
  <c r="E5" i="2"/>
  <c r="D5" i="2"/>
  <c r="D9" i="2" s="1"/>
  <c r="D10" i="2" s="1"/>
  <c r="E8" i="5"/>
  <c r="C8" i="5"/>
  <c r="C10" i="5" s="1"/>
  <c r="D18" i="2" s="1"/>
  <c r="D8" i="5"/>
  <c r="E9" i="2" l="1"/>
  <c r="E10" i="2" s="1"/>
  <c r="D10" i="5"/>
  <c r="E18" i="2" s="1"/>
  <c r="E10" i="5"/>
  <c r="E34" i="2" s="1"/>
  <c r="G34" i="2" s="1"/>
  <c r="E6" i="2"/>
  <c r="D6" i="2"/>
  <c r="B25" i="1"/>
  <c r="B39" i="1"/>
  <c r="B38" i="1"/>
  <c r="B37" i="1"/>
  <c r="B33" i="1"/>
  <c r="B26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F3" i="1"/>
  <c r="E3" i="1"/>
  <c r="D3" i="1"/>
  <c r="D19" i="1" l="1"/>
  <c r="D21" i="1" l="1"/>
  <c r="E19" i="1"/>
  <c r="E21" i="1" s="1"/>
  <c r="E23" i="1" s="1"/>
  <c r="E27" i="1" s="1"/>
  <c r="D23" i="1" l="1"/>
  <c r="D27" i="1" s="1"/>
  <c r="E29" i="1" s="1"/>
  <c r="F19" i="1"/>
  <c r="D37" i="1" l="1"/>
  <c r="D13" i="2"/>
  <c r="D14" i="2" s="1"/>
  <c r="D15" i="2" s="1"/>
  <c r="E37" i="1"/>
  <c r="E38" i="1" s="1"/>
  <c r="E28" i="1"/>
  <c r="E30" i="1"/>
  <c r="C4" i="6"/>
  <c r="C9" i="6" s="1"/>
  <c r="D28" i="1"/>
  <c r="F21" i="1"/>
  <c r="D4" i="6"/>
  <c r="D9" i="6" s="1"/>
  <c r="E13" i="2"/>
  <c r="D19" i="2"/>
  <c r="D20" i="2" s="1"/>
  <c r="D10" i="6" l="1"/>
  <c r="E19" i="2" s="1"/>
  <c r="E20" i="2" s="1"/>
  <c r="E39" i="1"/>
  <c r="E40" i="1" s="1"/>
  <c r="F23" i="1"/>
  <c r="F27" i="1" s="1"/>
  <c r="F29" i="1" s="1"/>
  <c r="D38" i="1"/>
  <c r="E14" i="2"/>
  <c r="E15" i="2" s="1"/>
  <c r="E4" i="6" l="1"/>
  <c r="E9" i="6" s="1"/>
  <c r="E10" i="6" s="1"/>
  <c r="E11" i="6" s="1"/>
  <c r="F13" i="2"/>
  <c r="D45" i="1" s="1"/>
  <c r="E45" i="1" s="1"/>
  <c r="F37" i="1"/>
  <c r="F28" i="1"/>
  <c r="D11" i="6"/>
  <c r="F14" i="2"/>
  <c r="F30" i="1"/>
  <c r="F19" i="2" l="1"/>
  <c r="E35" i="2" s="1"/>
  <c r="G35" i="2" s="1"/>
  <c r="E31" i="2"/>
  <c r="G31" i="2" s="1"/>
  <c r="F15" i="2"/>
  <c r="D46" i="1"/>
  <c r="E46" i="1" s="1"/>
  <c r="F38" i="1"/>
  <c r="F39" i="1"/>
  <c r="F40" i="1" s="1"/>
  <c r="E32" i="2"/>
  <c r="G32" i="2" s="1"/>
  <c r="D48" i="1" l="1"/>
  <c r="E48" i="1" s="1"/>
  <c r="F20" i="2"/>
</calcChain>
</file>

<file path=xl/sharedStrings.xml><?xml version="1.0" encoding="utf-8"?>
<sst xmlns="http://schemas.openxmlformats.org/spreadsheetml/2006/main" count="321" uniqueCount="249">
  <si>
    <t xml:space="preserve"> - Medziročná zmena spolufinancovania z dôvodu čerpania EŠIF</t>
  </si>
  <si>
    <t>% HDP</t>
  </si>
  <si>
    <t>Stanovená úroveň strednodobého cieľu (MTO) v oblasti štrukturálneho salda</t>
  </si>
  <si>
    <t>Štrukturálne saldo (ŠS - národná metodika)</t>
  </si>
  <si>
    <t>3 (áno ak 2=&lt;1)</t>
  </si>
  <si>
    <t>Dosiahnuté MTO?</t>
  </si>
  <si>
    <t>Požadovaná úroveň ŠS podľa rovnomernej cesty do 2017 (referenčná hodnota podľa národnej metodiky)</t>
  </si>
  <si>
    <t xml:space="preserve">Vývoj štrukturálneho salda oproti referenčnej hodnote </t>
  </si>
  <si>
    <t>Odchýlka od referenčnej hodnoty ŠS (kumulatívne)</t>
  </si>
  <si>
    <t>A.</t>
  </si>
  <si>
    <r>
      <t xml:space="preserve">Hodnotenie odchýlky vo vývoji ŠS </t>
    </r>
    <r>
      <rPr>
        <sz val="10"/>
        <color theme="1"/>
        <rFont val="Arial Narrow"/>
        <family val="2"/>
        <charset val="238"/>
      </rPr>
      <t>oproti referenčnej hodnote
(ak 5 =&gt; 0 je v súlade, ak 5 je v rozmedzí od 0 po -0,5 ide o nevýrazná odchýlka, ak 5 je nižšie ako -0,5 výrazná odchýlka)</t>
    </r>
  </si>
  <si>
    <t>* vyžaduje si celkové hodnotenie</t>
  </si>
  <si>
    <t xml:space="preserve">Výdavkové pravidlo </t>
  </si>
  <si>
    <t>Odchýlka od Výdavkového pravidla (jednoročný horizont)</t>
  </si>
  <si>
    <t xml:space="preserve">7 = kumul. r. 6 </t>
  </si>
  <si>
    <t>Odchýlka od Výdavkového pravidla (kumulatívne)</t>
  </si>
  <si>
    <t>B.</t>
  </si>
  <si>
    <r>
      <t xml:space="preserve">Hodnotenie výdavkového pravidla
</t>
    </r>
    <r>
      <rPr>
        <sz val="10"/>
        <color theme="1"/>
        <rFont val="Arial Narrow"/>
        <family val="2"/>
        <charset val="238"/>
      </rPr>
      <t>(ak 5 =&gt; 0 je v súlade, ak 5 je v rozmedzí od 0 po -0,5 ide o nevýrazná odchýlka, ak 5 je nižšie ako -0,5 výrazná odchýlka)</t>
    </r>
  </si>
  <si>
    <t>Celkové hodnotenie po zohľadnení dodatočných faktorov</t>
  </si>
  <si>
    <t>Odchýlka od ŠS (po zohľadnení dodatočných faktorov - kum.)</t>
  </si>
  <si>
    <t>Odchýlka od VV (po zohľadnení dodatočných faktorov - kum.)</t>
  </si>
  <si>
    <t>C.</t>
  </si>
  <si>
    <t>Celkové hodnotenie (po zohľadnení dodatočných faktorov)</t>
  </si>
  <si>
    <t>1. Saldo verejnej správy</t>
  </si>
  <si>
    <t>2. Cyklická zložka</t>
  </si>
  <si>
    <t>3. Jednorazové efekty</t>
  </si>
  <si>
    <t>4. Štrukturálne saldo (1-2-3)</t>
  </si>
  <si>
    <t>5. Konsolidačné úsilie</t>
  </si>
  <si>
    <t>mil. eur</t>
  </si>
  <si>
    <t>1. Príjmy verejnej správy</t>
  </si>
  <si>
    <t>Daňové príjmy</t>
  </si>
  <si>
    <t>z toho: Zmeny v daňovom odpisovaní majetku a audit daňových výdavkov</t>
  </si>
  <si>
    <t>z toho: Opatrenia na zvýšenie úspešnosti výberu daní</t>
  </si>
  <si>
    <t>z toho: Zavedenie pravidiel nízkej kapitalizácie</t>
  </si>
  <si>
    <t>z toho: Vyššie príjmy z odvodov z hazardu</t>
  </si>
  <si>
    <t>z toho: Odpočet výdavkov na vedu a výskum</t>
  </si>
  <si>
    <t>z toho: Zníženie sadzby bankového odvodu</t>
  </si>
  <si>
    <t>Sociálne a zdravotné odvody</t>
  </si>
  <si>
    <t>z toho: Legislatívne zmeny (OOP + otvorenie II. piliera)</t>
  </si>
  <si>
    <t>z toho: Vyššia platba štátu a imputované poistné</t>
  </si>
  <si>
    <t>Nedaňové príjmy</t>
  </si>
  <si>
    <t>Granty a Transfery</t>
  </si>
  <si>
    <t>2. Výdavky verejnej správy</t>
  </si>
  <si>
    <t>Vyššie výdavky na tovary a služby</t>
  </si>
  <si>
    <t>Vyššie výdavky na kompenzácie zamestnancov</t>
  </si>
  <si>
    <t>Vyššie transfery zdravotníckym zariadeniam</t>
  </si>
  <si>
    <t>Vyššie ostatné bežné transfery</t>
  </si>
  <si>
    <t>Vyššie kapitálové výdavky</t>
  </si>
  <si>
    <t>Pozn.: ide o vplyvy na saldo VS, (+) znamená zlepšenie a (-) zhoršenie salda</t>
  </si>
  <si>
    <t>Zdroj: MF SR, ŠÚ SR</t>
  </si>
  <si>
    <r>
      <t>2015</t>
    </r>
    <r>
      <rPr>
        <b/>
        <vertAlign val="subscript"/>
        <sz val="10"/>
        <color rgb="FF000000"/>
        <rFont val="Arial Narrow"/>
        <family val="2"/>
        <charset val="238"/>
      </rPr>
      <t>1a</t>
    </r>
  </si>
  <si>
    <r>
      <t>2015</t>
    </r>
    <r>
      <rPr>
        <b/>
        <vertAlign val="subscript"/>
        <sz val="10"/>
        <color rgb="FF000000"/>
        <rFont val="Arial Narrow"/>
        <family val="2"/>
        <charset val="238"/>
      </rPr>
      <t>1b</t>
    </r>
  </si>
  <si>
    <t>1a. Saldo verejnej správy</t>
  </si>
  <si>
    <t>-</t>
  </si>
  <si>
    <t>1c. Saldo VS po zohľadnení dočasných výdavkov zo spolufinancovania</t>
  </si>
  <si>
    <t>5. Rovnomerná cesta k MTO</t>
  </si>
  <si>
    <t>6. Odchýlka od požadovanej rovnomernej trajektórie (5-4)</t>
  </si>
  <si>
    <t>Zdroj: MF SR</t>
  </si>
  <si>
    <t xml:space="preserve">Odchýlka od výdavkového pravidla (v % HDP) </t>
  </si>
  <si>
    <t>Dodatočné faktory pri aplikácii celkového hodnotenia</t>
  </si>
  <si>
    <t xml:space="preserve">Celkové hodnotenie odchýlky od výdavkového pravidla v % HDP </t>
  </si>
  <si>
    <t>Celkové hodnotenie kumulatívnej odchýlka od VP t až t-2 (v % HDP)</t>
  </si>
  <si>
    <t>Splnenie výdavkového pravidla po zohľadnení dodatočných faktorov</t>
  </si>
  <si>
    <t xml:space="preserve"> - Medziročné zvýšenie efektivity výberu DPH (DRM)</t>
  </si>
  <si>
    <t xml:space="preserve"> - príjmy z predaja telekomunikačných licencií (digitálna dividenda)</t>
  </si>
  <si>
    <t xml:space="preserve"> - príjem/úhrada DPH z PPP projektu</t>
  </si>
  <si>
    <t xml:space="preserve"> - pokuta protimonopolného úradu za stavebný kartel </t>
  </si>
  <si>
    <t xml:space="preserve"> - splácanie návratnej finančnej výpomoci Cargo (kapitálový transfer v 2009)</t>
  </si>
  <si>
    <t xml:space="preserve"> - rozdielne zaznamenanie príjmov DPH (skutočná akrualizácia)</t>
  </si>
  <si>
    <t xml:space="preserve"> - splácanie návratnej finančnej výpomoci Vodohospodárskej výstavbe (kapitálový transfer pred rokom 2002)</t>
  </si>
  <si>
    <t xml:space="preserve"> - nižší odvod do EÚ rozpočtu</t>
  </si>
  <si>
    <t>-  jednorazové vyplatenie starobných dôchodkov silovým zložkám</t>
  </si>
  <si>
    <t>SPOLU - národná metodika</t>
  </si>
  <si>
    <t>v % HDP</t>
  </si>
  <si>
    <t>celkový vplyv</t>
  </si>
  <si>
    <t>dodatočný vplyv</t>
  </si>
  <si>
    <t>Popis</t>
  </si>
  <si>
    <t>Neplatenie bankového odvodu v 4Q</t>
  </si>
  <si>
    <t>Zníženie sadzby bankového odvodu od 2015</t>
  </si>
  <si>
    <t>Odvodová úľava pre dlhodobo nezamestnaných</t>
  </si>
  <si>
    <t>Zavedenie daňovej licencie DPPO</t>
  </si>
  <si>
    <t>Zníženie sadzby DPPO na 22%</t>
  </si>
  <si>
    <t xml:space="preserve">Prísnejšie pravidlá pre umorovanie strát </t>
  </si>
  <si>
    <t>Zmeny v 595/2003</t>
  </si>
  <si>
    <t>Zmeny v zaťažení odvodov</t>
  </si>
  <si>
    <t>Zmeny v daňovom odpisovaní majetku</t>
  </si>
  <si>
    <t>Zavedenie pravidiel nízkej kapitalizácie</t>
  </si>
  <si>
    <t>Odpočet výdavkov na vedu a výskum od základu dane</t>
  </si>
  <si>
    <t>Audit daňových výdavkov a iné</t>
  </si>
  <si>
    <t>Otvorenie II. piliera - bežný vplyv</t>
  </si>
  <si>
    <t>Odvodová odpočítateľná položka</t>
  </si>
  <si>
    <t>Zákon 222/2004 Z.z. o DPH</t>
  </si>
  <si>
    <t>SPOLU</t>
  </si>
  <si>
    <t>Zvýšenie a zosúladenie maximálnych vymeriavacích základov</t>
  </si>
  <si>
    <t>Zvýšenie odvodovej povinnosti SZČO a iné zmeny</t>
  </si>
  <si>
    <t>Zavedenie odvodovej povinnosti na príjmy z dohôd</t>
  </si>
  <si>
    <t>Zníženie sadzby do II. piliera dôchodkového systému</t>
  </si>
  <si>
    <t>Zavedenie OO v bankovom sektore</t>
  </si>
  <si>
    <t>Rozšírenie OO v bankovom sektore (vrátane vplyvu DPPO)</t>
  </si>
  <si>
    <t xml:space="preserve"> z toho: mimoriadny jednorazový odvod</t>
  </si>
  <si>
    <t xml:space="preserve"> z toho: osobitný odvod</t>
  </si>
  <si>
    <t>Zavedenie odvodu z podnikania v regul. odv.</t>
  </si>
  <si>
    <t>Zvýšenie poplatku pri registrácii automobilov</t>
  </si>
  <si>
    <t>Zmeny v zdaňovaní hazardných hier</t>
  </si>
  <si>
    <t>Prechod DPPO z 19% na 23% u opatrení schválených NRSR</t>
  </si>
  <si>
    <t>Zmeny v sadzbách daní z príjmov - DPPO 23%, DPFO 19% a 25%</t>
  </si>
  <si>
    <t>Oslobodenie príjmov z predaja majetku obcí a VÚC</t>
  </si>
  <si>
    <t>Zrušenie koncesionárskych poplatkov</t>
  </si>
  <si>
    <t>Znovuzavedenie koncesionárskych poplatkov</t>
  </si>
  <si>
    <t>Zdanenie nerozdelených ziskov spred roku 2004</t>
  </si>
  <si>
    <t>Zvýšenie sadzby SD z tabakových výrobkov</t>
  </si>
  <si>
    <t>Opatrenia na zvýšenie úspešnosti výberu daní (ERP a farmafirmy)</t>
  </si>
  <si>
    <t>Obsah - Plnenie pravidla vyrovnaného rozpočtu za rok 2015</t>
  </si>
  <si>
    <t>Výdavkové pravidlo</t>
  </si>
  <si>
    <t>Štrukturálne saldo</t>
  </si>
  <si>
    <t>Rovnomerná cesta k MTO 2017</t>
  </si>
  <si>
    <t>Národná metodika (1)</t>
  </si>
  <si>
    <t>Rozdiely (3=1-2)</t>
  </si>
  <si>
    <t>3. Jednorazové opatrenia</t>
  </si>
  <si>
    <t>4. Štrukturálne saldo</t>
  </si>
  <si>
    <t>p.m. Konsolidačné úsilie</t>
  </si>
  <si>
    <t>1. Príjmy VS</t>
  </si>
  <si>
    <t>2. Výdavky VS</t>
  </si>
  <si>
    <t>3. Saldo VS (1 - 2)</t>
  </si>
  <si>
    <t>HDP (mil. eur)</t>
  </si>
  <si>
    <t xml:space="preserve"> - špeciálny odvod v bankovom sektore</t>
  </si>
  <si>
    <t>3. Spolu (1+2)</t>
  </si>
  <si>
    <t>18. Odchýlka od výdavkového pravidla v % HDP ((17t-14t)*9t-1/HDPt)</t>
  </si>
  <si>
    <t>THFK celkové (T200)</t>
  </si>
  <si>
    <t>EU spolu (sektor VS)</t>
  </si>
  <si>
    <t>EU kapitálové výdavky</t>
  </si>
  <si>
    <t>Vládne kapitálové výdavky</t>
  </si>
  <si>
    <t>Zdroj: MF SR, ŠU SR</t>
  </si>
  <si>
    <t>Medziročný vplyv z DPH</t>
  </si>
  <si>
    <t>Celkom (% HDP)</t>
  </si>
  <si>
    <t>Medziročný vplyv zmeny spolufinancovania</t>
  </si>
  <si>
    <t>Celkom  (% HDP)</t>
  </si>
  <si>
    <t xml:space="preserve"> - Medziročný vplyv časovo správneho zaznamenania EÚ korekcií</t>
  </si>
  <si>
    <t>Ukazovateľ</t>
  </si>
  <si>
    <t>Skutočnosť</t>
  </si>
  <si>
    <t>Prognóza</t>
  </si>
  <si>
    <t>Daňové príjmy a príjmy FSZP spolu</t>
  </si>
  <si>
    <t>Zdroj: Výbor pre daňové prognózy</t>
  </si>
  <si>
    <r>
      <t>5</t>
    </r>
    <r>
      <rPr>
        <b/>
        <sz val="10"/>
        <color theme="1"/>
        <rFont val="Arial Narrow"/>
        <family val="2"/>
        <charset val="238"/>
      </rPr>
      <t xml:space="preserve"> </t>
    </r>
    <r>
      <rPr>
        <sz val="10"/>
        <color theme="1"/>
        <rFont val="Arial Narrow"/>
        <family val="2"/>
        <charset val="238"/>
      </rPr>
      <t>= 2 - 4</t>
    </r>
  </si>
  <si>
    <t>Objem spolufinancovania</t>
  </si>
  <si>
    <t>Cyklická zložka</t>
  </si>
  <si>
    <t>Priame dane domácností</t>
  </si>
  <si>
    <t>Odvody</t>
  </si>
  <si>
    <t>DPPO</t>
  </si>
  <si>
    <t>Nepriame dane</t>
  </si>
  <si>
    <t>Dôchodky</t>
  </si>
  <si>
    <t>Dávky v nezamestnanosti</t>
  </si>
  <si>
    <t>Spolu</t>
  </si>
  <si>
    <t>Kompenzácie v súkromnom sektore</t>
  </si>
  <si>
    <t>Spotreba domácností v s.c.</t>
  </si>
  <si>
    <t>Hrubý zmiešaný dôchodok</t>
  </si>
  <si>
    <t>Zamestnanosť v súkromnom sektore</t>
  </si>
  <si>
    <t>Produkčná medzera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</si>
  <si>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</si>
  <si>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</si>
  <si>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</si>
  <si>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</si>
  <si>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</si>
  <si>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</si>
  <si>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</si>
  <si>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</si>
  <si>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</si>
  <si>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</si>
  <si>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</si>
  <si>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</si>
  <si>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</si>
  <si>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</si>
  <si>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</si>
  <si>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</si>
  <si>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</si>
  <si>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</si>
  <si>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</si>
  <si>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</si>
  <si>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Príjmy VS</t>
  </si>
  <si>
    <t>Výdavky VS</t>
  </si>
  <si>
    <t xml:space="preserve"> - časovo rozlišené zaradenie korekcií k EÚ fondom</t>
  </si>
  <si>
    <t>rozdiel</t>
  </si>
  <si>
    <t>Zohdľadnovanie dodatočných faktorov</t>
  </si>
  <si>
    <t>Porovnanie indikátorov (Fiškálny kompakt 11/2016 vs. 05/2016)</t>
  </si>
  <si>
    <t>November</t>
  </si>
  <si>
    <t>pôvod rozdielu</t>
  </si>
  <si>
    <t>Bežné výdavky</t>
  </si>
  <si>
    <t>Jún</t>
  </si>
  <si>
    <t>Dane + HDP</t>
  </si>
  <si>
    <t>Odchýlka MTO 2017 (kumulatívna)</t>
  </si>
  <si>
    <t>20. Kumulatívna odchýlka od výdavkového pravidla (v % HDP)</t>
  </si>
  <si>
    <t>21. Splnenie výdavkového pravidla na kumulatívnej báze</t>
  </si>
  <si>
    <t>19. Splnenie výdavkového pravidla</t>
  </si>
  <si>
    <t xml:space="preserve"> - </t>
  </si>
  <si>
    <t>p.m. požadovaná zmena ŠS na dosihanutie MTO 2017 (% HDP)</t>
  </si>
  <si>
    <t>Splnenie výdavkového pravidla na kumulatívnej báze</t>
  </si>
  <si>
    <t>EK Metodika (2) (DBP 2017)</t>
  </si>
  <si>
    <t>Jednorázové opatrenia</t>
  </si>
  <si>
    <t>EÚ korekcie podľa ESA 2010 (1)</t>
  </si>
  <si>
    <t>Vplyv časovo rozlišeného zaradenia EÚ korekcií (2-1)</t>
  </si>
  <si>
    <t>TABUĽKA 8: Výdavky kryté z EÚ fondov a ich rozbitie</t>
  </si>
  <si>
    <t>RRZ - Júl 2016 (1)</t>
  </si>
  <si>
    <t xml:space="preserve"> Výdavky z EÚ fondov v sektore VS </t>
  </si>
  <si>
    <t xml:space="preserve"> EU spolu (sektor VS) </t>
  </si>
  <si>
    <t xml:space="preserve"> ostatné, najmä bežné výdavky </t>
  </si>
  <si>
    <t>Zdroj: RRZ</t>
  </si>
  <si>
    <t>MF SR - DBP 2017 (Október 2016) (2)</t>
  </si>
  <si>
    <t xml:space="preserve"> Kapitálové výdavky </t>
  </si>
  <si>
    <t xml:space="preserve"> Bežné výdavky </t>
  </si>
  <si>
    <t>Rozdiel – FK vs. DBP (3-2)</t>
  </si>
  <si>
    <t>EÚ korekcie časovo ekonomicky správne rozlíšené (2)</t>
  </si>
  <si>
    <t>GRAF 3: Faktory ovplyvňujúce štrukturálne saldo oproti júnovému hodnoteniu roku 2015 (% HDP)</t>
  </si>
  <si>
    <t>Pomocná tabuľka 1: Porovnanie hodnotenia fiškálneho kompaktu (jún vs. november)</t>
  </si>
  <si>
    <t>Pomocná tabuľka 2: Štrukturálneho salda podľa národnej metodiky (ESA2010, % HDP) - Júnové hodnotenie fiškálneho kompaktu</t>
  </si>
  <si>
    <t>GRAF 1: Vývoj štrukturálneho salda oproti požadovanej trajektórii (% HDP)</t>
  </si>
  <si>
    <t>GRAF 2: Odchýlka od požadovanej úrovne ŠS salda v národnej metodike (% HDP)</t>
  </si>
  <si>
    <t>TABUĽKA 1: Celkové hodnotenie plnenia pravidla o vyrovnanom rozpočte v národnej metodike (% HDP)</t>
  </si>
  <si>
    <t>TABUĽKA 2: Hodnotenie štrukturálneho salda podľa národnej metodiky (ESA2010, % HDP)</t>
  </si>
  <si>
    <t>Pomocná tabuľka 3: Príjmy a výdavky VS (ESA2010, % HDP) </t>
  </si>
  <si>
    <t>Pomocná tabuľka 4: Rovnomerná cesta k MTO 2017 (2012 - 2017)</t>
  </si>
  <si>
    <t>TABUĽKA 3: Zoznam opatrení v roku 2015 (ESA2010, skutočnosť oproti NPC scenáru)</t>
  </si>
  <si>
    <t>TABUĽKA 6: Celkové hodnotenie štrukturálneho salda podľa národnej metodiky (ESA2010, % HDP) </t>
  </si>
  <si>
    <t>Pomocná tabuľka 5: Prognóza daňových príjmov verejnej správy v metodike ESA2010 (v tis. EUR) - rozdiel november 2016 -  jún 2016</t>
  </si>
  <si>
    <r>
      <t xml:space="preserve">GRAF 4: Vývoj medzier v jednotlivých makroekonomických základniach (% príslušných potenciálnych-trendových veličín)       </t>
    </r>
    <r>
      <rPr>
        <sz val="10"/>
        <color rgb="FFFFFFFF"/>
        <rFont val="Arial Narrow"/>
        <family val="2"/>
        <charset val="238"/>
      </rPr>
      <t xml:space="preserve">   </t>
    </r>
  </si>
  <si>
    <t>GRAF 5: Príspevky k cyklickej zložke salda v disagregovanej metodike (% z HDP)</t>
  </si>
  <si>
    <t>Pomocná tabuľka 6: Cyklická zložka (% HDP, národná metodika)</t>
  </si>
  <si>
    <r>
      <t>Pomocná tabuľka 7: Vývoj medzier v jednotlivých makroekonomických základniach (% príslušných potenciálnych- trendových veličín)</t>
    </r>
    <r>
      <rPr>
        <b/>
        <sz val="10"/>
        <color rgb="FFFFFFFF"/>
        <rFont val="Arial Narrow"/>
        <family val="2"/>
        <charset val="238"/>
      </rPr>
      <t xml:space="preserve"> </t>
    </r>
    <r>
      <rPr>
        <sz val="10"/>
        <color rgb="FFFFFFFF"/>
        <rFont val="Arial Narrow"/>
        <family val="2"/>
        <charset val="238"/>
      </rPr>
      <t xml:space="preserve">      </t>
    </r>
  </si>
  <si>
    <t>TABUĽKA 4: Hodnotenie výdavkového pravidla (mil. eur)</t>
  </si>
  <si>
    <t>TABUĽKA 5: Vývoj výdavkového pravidla oproti hodnoteniu fiškálneho kompaktu z júna 2016</t>
  </si>
  <si>
    <t>Pomocná tabuľka 8: Hodnotenie fiškálneho kompaktu 2015 -Aktualizovane</t>
  </si>
  <si>
    <t>TABUĽKA 7: Celkové hodnotenie výdavkového pravidla po zohľadnení dodatočných faktorov (% HDP)</t>
  </si>
  <si>
    <t>Pomocná tabuľka 9: Medziročná zmena zvýšenia efektívnosti výberu DPH (mil.eur, % HDP)</t>
  </si>
  <si>
    <t>Pomocná tabuľka 10:Spolufinancovanie z dôvodu čerpania EŠIF (mil. eur, % HDP)</t>
  </si>
  <si>
    <t>TABUĽKA 12: Rozdiely vo výpočte štrukturálneho salda v národnej metodike a EK metodike</t>
  </si>
  <si>
    <t>TABUĽKA 9: Jednorazové vplyvy  (ESA2010, mil. eur)</t>
  </si>
  <si>
    <t>TABUĽKA 11: Príjmové diskrečné opatrenia (v mil. eur, ESA2010)</t>
  </si>
  <si>
    <t>MF SR – FK 2015 (November 2016) (3)</t>
  </si>
  <si>
    <t>Rozdiel MF SR vs. RRZ (3-1)</t>
  </si>
  <si>
    <t>Výdavky z EÚ fondov</t>
  </si>
  <si>
    <t>TABUĽKA 10: Časovo ekonomicky správne rozlíšené zaradenie korekcií k EÚ fondom</t>
  </si>
  <si>
    <t>Štrukturálne saldo_faktory</t>
  </si>
  <si>
    <t>Výdavkové pravidlo_faktory</t>
  </si>
  <si>
    <t>Fiškálny kompakt vs EK metodika</t>
  </si>
  <si>
    <t>Jednorazové opatrenia</t>
  </si>
  <si>
    <t>Diskrečné príjmové opatrenia</t>
  </si>
  <si>
    <t>No-policy-change scenár</t>
  </si>
  <si>
    <t>Očistenie o zaradenie Dopravných podnikov v rokoch 2014 a 2015</t>
  </si>
  <si>
    <t>Odchýlka od VP (po zohľadnení dodatočných faktorov - kum.)</t>
  </si>
  <si>
    <t>Celkové hodnotenie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</si>
</sst>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0.000"/>
    <numFmt numFmtId="165" formatCode="#,##0.0"/>
    <numFmt numFmtId="166" formatCode="_-* #,##0\ _€_-;\-* #,##0\ _€_-;_-* &quot;-&quot;??\ _€_-;_-@_-"/>
    <numFmt numFmtId="167" formatCode="#,##0.0_ ;\-#,##0.0\ "/>
    <numFmt numFmtId="168" formatCode="#,##0.00_ ;\-#,##0.00\ "/>
    <numFmt numFmtId="169" formatCode="0.0"/>
    <numFmt numFmtId="170" formatCode="#,##0_ ;\-#,##0\ "/>
    <numFmt numFmtId="171" formatCode="0.000000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name val="Arial"/>
      <family val="2"/>
    </font>
    <font>
      <b/>
      <sz val="10"/>
      <color indexed="8"/>
      <name val="Arial Narrow"/>
      <family val="2"/>
      <charset val="238"/>
    </font>
    <font>
      <b/>
      <i/>
      <sz val="10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color rgb="FF2C9ADC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10"/>
      <color theme="4"/>
      <name val="Arial Narrow"/>
      <family val="2"/>
      <charset val="238"/>
    </font>
    <font>
      <b/>
      <vertAlign val="subscript"/>
      <sz val="10"/>
      <color rgb="FF000000"/>
      <name val="Arial Narrow"/>
      <family val="2"/>
      <charset val="238"/>
    </font>
    <font>
      <b/>
      <i/>
      <sz val="10"/>
      <color rgb="FF000000"/>
      <name val="Arial Narrow"/>
      <family val="2"/>
      <charset val="238"/>
    </font>
    <font>
      <sz val="10"/>
      <name val="Arial Narrow"/>
      <family val="2"/>
      <charset val="238"/>
    </font>
    <font>
      <u/>
      <sz val="11"/>
      <color theme="10"/>
      <name val="Calibri"/>
      <family val="2"/>
      <scheme val="minor"/>
    </font>
    <font>
      <sz val="10"/>
      <name val="Arial"/>
      <family val="2"/>
      <charset val="238"/>
    </font>
    <font>
      <b/>
      <sz val="15"/>
      <color theme="1"/>
      <name val="Arial Narrow"/>
      <family val="2"/>
      <charset val="238"/>
    </font>
    <font>
      <sz val="10"/>
      <color rgb="FFFFFFFF"/>
      <name val="Arial Narrow"/>
      <family val="2"/>
      <charset val="238"/>
    </font>
    <font>
      <b/>
      <sz val="10"/>
      <color rgb="FFFFFFFF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sz val="10"/>
      <color theme="1"/>
      <name val="Calibri"/>
      <family val="2"/>
      <scheme val="minor"/>
    </font>
    <font>
      <sz val="10"/>
      <color rgb="FFFF0000"/>
      <name val="Arial Narrow"/>
      <family val="2"/>
      <charset val="238"/>
    </font>
    <font>
      <i/>
      <sz val="10"/>
      <color rgb="FF000000"/>
      <name val="Arial Narrow"/>
      <family val="2"/>
      <charset val="238"/>
    </font>
    <font>
      <b/>
      <sz val="10"/>
      <color rgb="FF0070C0"/>
      <name val="Arial Narrow"/>
      <family val="2"/>
      <charset val="238"/>
    </font>
    <font>
      <b/>
      <sz val="10"/>
      <color theme="0" tint="-0.249977111117893"/>
      <name val="Arial Narrow"/>
      <family val="2"/>
      <charset val="238"/>
    </font>
    <font>
      <sz val="10"/>
      <color indexed="8"/>
      <name val="Arial Narrow"/>
      <family val="2"/>
      <charset val="238"/>
    </font>
    <font>
      <u/>
      <sz val="10"/>
      <color theme="10"/>
      <name val="Calibri"/>
      <family val="2"/>
      <scheme val="minor"/>
    </font>
    <font>
      <u/>
      <sz val="11"/>
      <color theme="10"/>
      <name val="Arial Narrow"/>
      <family val="2"/>
      <charset val="238"/>
    </font>
    <font>
      <u/>
      <sz val="11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2C9ADC"/>
        <bgColor indexed="64"/>
      </patternFill>
    </fill>
    <fill>
      <patternFill patternType="solid">
        <fgColor theme="4" tint="0.79998168889431442"/>
        <bgColor indexed="64"/>
      </patternFill>
    </fill>
  </fills>
  <borders count="5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thick">
        <color theme="1"/>
      </left>
      <right style="thick">
        <color theme="1"/>
      </right>
      <top style="thick">
        <color theme="1"/>
      </top>
      <bottom style="medium">
        <color indexed="64"/>
      </bottom>
      <diagonal/>
    </border>
    <border>
      <left style="thick">
        <color theme="1"/>
      </left>
      <right style="thick">
        <color theme="1"/>
      </right>
      <top/>
      <bottom/>
      <diagonal/>
    </border>
    <border>
      <left style="thick">
        <color theme="1"/>
      </left>
      <right style="thick">
        <color theme="1"/>
      </right>
      <top/>
      <bottom style="thick">
        <color theme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5" fillId="0" borderId="0"/>
    <xf numFmtId="0" fontId="8" fillId="0" borderId="0"/>
    <xf numFmtId="0" fontId="5" fillId="0" borderId="0"/>
    <xf numFmtId="0" fontId="17" fillId="0" borderId="0" applyNumberFormat="0" applyFill="0" applyBorder="0" applyAlignment="0" applyProtection="0"/>
    <xf numFmtId="0" fontId="18" fillId="0" borderId="0"/>
    <xf numFmtId="43" fontId="1" fillId="0" borderId="0" applyFont="0" applyFill="0" applyBorder="0" applyAlignment="0" applyProtection="0"/>
  </cellStyleXfs>
  <cellXfs count="416">
    <xf numFmtId="0" fontId="0" fillId="0" borderId="0" xfId="0"/>
    <xf numFmtId="0" fontId="4" fillId="0" borderId="1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8" fillId="0" borderId="0" xfId="0" applyFont="1"/>
    <xf numFmtId="0" fontId="4" fillId="3" borderId="7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/>
    </xf>
    <xf numFmtId="0" fontId="4" fillId="0" borderId="9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left" vertical="center"/>
    </xf>
    <xf numFmtId="169" fontId="9" fillId="0" borderId="0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/>
    </xf>
    <xf numFmtId="169" fontId="4" fillId="0" borderId="0" xfId="0" applyNumberFormat="1" applyFont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center" wrapText="1"/>
    </xf>
    <xf numFmtId="16" fontId="9" fillId="0" borderId="10" xfId="0" applyNumberFormat="1" applyFont="1" applyBorder="1" applyAlignment="1">
      <alignment horizontal="center"/>
    </xf>
    <xf numFmtId="0" fontId="4" fillId="3" borderId="1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20" xfId="0" applyFont="1" applyBorder="1" applyAlignment="1">
      <alignment horizontal="left" vertical="center"/>
    </xf>
    <xf numFmtId="169" fontId="9" fillId="0" borderId="2" xfId="0" applyNumberFormat="1" applyFont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9" fillId="0" borderId="21" xfId="0" applyFont="1" applyBorder="1" applyAlignment="1">
      <alignment horizontal="center"/>
    </xf>
    <xf numFmtId="0" fontId="9" fillId="0" borderId="18" xfId="0" applyFont="1" applyBorder="1" applyAlignment="1">
      <alignment horizontal="left" vertical="center"/>
    </xf>
    <xf numFmtId="169" fontId="9" fillId="0" borderId="5" xfId="0" applyNumberFormat="1" applyFont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11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3" fillId="0" borderId="0" xfId="0" applyFont="1"/>
    <xf numFmtId="0" fontId="15" fillId="0" borderId="24" xfId="0" applyFont="1" applyBorder="1" applyAlignment="1">
      <alignment vertical="center"/>
    </xf>
    <xf numFmtId="0" fontId="9" fillId="0" borderId="0" xfId="4" applyFont="1" applyFill="1" applyBorder="1"/>
    <xf numFmtId="1" fontId="9" fillId="0" borderId="0" xfId="4" applyNumberFormat="1" applyFont="1" applyFill="1" applyBorder="1" applyAlignment="1">
      <alignment horizontal="center"/>
    </xf>
    <xf numFmtId="1" fontId="9" fillId="0" borderId="11" xfId="4" applyNumberFormat="1" applyFont="1" applyFill="1" applyBorder="1" applyAlignment="1">
      <alignment horizontal="center"/>
    </xf>
    <xf numFmtId="1" fontId="9" fillId="0" borderId="0" xfId="4" applyNumberFormat="1" applyFont="1" applyFill="1" applyBorder="1" applyAlignment="1">
      <alignment horizontal="center" vertical="center"/>
    </xf>
    <xf numFmtId="3" fontId="9" fillId="0" borderId="0" xfId="4" applyNumberFormat="1" applyFont="1" applyFill="1" applyBorder="1" applyAlignment="1">
      <alignment horizontal="center" vertical="center"/>
    </xf>
    <xf numFmtId="0" fontId="9" fillId="0" borderId="0" xfId="4" applyFont="1" applyFill="1" applyBorder="1" applyAlignment="1">
      <alignment horizontal="left" indent="2"/>
    </xf>
    <xf numFmtId="1" fontId="16" fillId="0" borderId="0" xfId="4" applyNumberFormat="1" applyFont="1" applyFill="1" applyBorder="1" applyAlignment="1">
      <alignment horizontal="center"/>
    </xf>
    <xf numFmtId="1" fontId="16" fillId="0" borderId="11" xfId="4" applyNumberFormat="1" applyFont="1" applyFill="1" applyBorder="1" applyAlignment="1">
      <alignment horizontal="center"/>
    </xf>
    <xf numFmtId="1" fontId="16" fillId="0" borderId="0" xfId="4" applyNumberFormat="1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1" fontId="16" fillId="0" borderId="11" xfId="0" applyNumberFormat="1" applyFont="1" applyFill="1" applyBorder="1" applyAlignment="1">
      <alignment horizontal="center"/>
    </xf>
    <xf numFmtId="1" fontId="16" fillId="0" borderId="0" xfId="0" applyNumberFormat="1" applyFont="1" applyFill="1" applyBorder="1" applyAlignment="1">
      <alignment horizontal="center"/>
    </xf>
    <xf numFmtId="3" fontId="16" fillId="0" borderId="11" xfId="0" applyNumberFormat="1" applyFont="1" applyFill="1" applyBorder="1" applyAlignment="1">
      <alignment horizontal="center"/>
    </xf>
    <xf numFmtId="3" fontId="16" fillId="0" borderId="0" xfId="0" applyNumberFormat="1" applyFont="1" applyFill="1" applyBorder="1" applyAlignment="1">
      <alignment horizontal="center"/>
    </xf>
    <xf numFmtId="1" fontId="16" fillId="0" borderId="11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vertical="center"/>
    </xf>
    <xf numFmtId="1" fontId="16" fillId="0" borderId="2" xfId="4" applyNumberFormat="1" applyFont="1" applyFill="1" applyBorder="1" applyAlignment="1">
      <alignment horizontal="center"/>
    </xf>
    <xf numFmtId="1" fontId="16" fillId="0" borderId="2" xfId="4" applyNumberFormat="1" applyFont="1" applyFill="1" applyBorder="1" applyAlignment="1">
      <alignment horizontal="center" vertical="center"/>
    </xf>
    <xf numFmtId="1" fontId="16" fillId="0" borderId="2" xfId="0" applyNumberFormat="1" applyFont="1" applyFill="1" applyBorder="1" applyAlignment="1">
      <alignment horizontal="center"/>
    </xf>
    <xf numFmtId="3" fontId="9" fillId="0" borderId="30" xfId="4" applyNumberFormat="1" applyFont="1" applyFill="1" applyBorder="1" applyAlignment="1">
      <alignment horizontal="center" vertical="center"/>
    </xf>
    <xf numFmtId="0" fontId="16" fillId="0" borderId="0" xfId="0" applyFont="1"/>
    <xf numFmtId="0" fontId="10" fillId="0" borderId="0" xfId="0" applyFont="1"/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right" vertical="center"/>
    </xf>
    <xf numFmtId="0" fontId="13" fillId="0" borderId="4" xfId="0" applyFont="1" applyFill="1" applyBorder="1" applyAlignment="1">
      <alignment vertical="center"/>
    </xf>
    <xf numFmtId="0" fontId="12" fillId="0" borderId="17" xfId="0" applyFont="1" applyBorder="1" applyAlignment="1">
      <alignment vertical="center"/>
    </xf>
    <xf numFmtId="0" fontId="4" fillId="0" borderId="17" xfId="4" applyFont="1" applyFill="1" applyBorder="1" applyAlignment="1">
      <alignment horizontal="center" vertical="center"/>
    </xf>
    <xf numFmtId="0" fontId="4" fillId="0" borderId="16" xfId="4" applyFont="1" applyFill="1" applyBorder="1" applyAlignment="1">
      <alignment horizontal="center" vertical="center"/>
    </xf>
    <xf numFmtId="0" fontId="4" fillId="0" borderId="27" xfId="4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/>
    </xf>
    <xf numFmtId="0" fontId="4" fillId="3" borderId="37" xfId="0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169" fontId="4" fillId="0" borderId="38" xfId="0" applyNumberFormat="1" applyFont="1" applyBorder="1" applyAlignment="1">
      <alignment horizontal="center" vertical="center" wrapText="1"/>
    </xf>
    <xf numFmtId="169" fontId="4" fillId="0" borderId="39" xfId="0" applyNumberFormat="1" applyFont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69" fontId="4" fillId="0" borderId="40" xfId="0" applyNumberFormat="1" applyFont="1" applyFill="1" applyBorder="1" applyAlignment="1">
      <alignment horizontal="center" vertical="center" wrapText="1"/>
    </xf>
    <xf numFmtId="0" fontId="4" fillId="3" borderId="41" xfId="0" applyFont="1" applyFill="1" applyBorder="1" applyAlignment="1">
      <alignment horizontal="center" vertical="center" wrapText="1"/>
    </xf>
    <xf numFmtId="169" fontId="4" fillId="0" borderId="42" xfId="0" applyNumberFormat="1" applyFont="1" applyBorder="1" applyAlignment="1">
      <alignment horizontal="center" vertical="center" wrapText="1"/>
    </xf>
    <xf numFmtId="169" fontId="4" fillId="0" borderId="44" xfId="0" applyNumberFormat="1" applyFont="1" applyBorder="1" applyAlignment="1">
      <alignment horizontal="center" vertical="center" wrapText="1"/>
    </xf>
    <xf numFmtId="0" fontId="4" fillId="3" borderId="45" xfId="2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46" xfId="0" applyFont="1" applyBorder="1" applyAlignment="1">
      <alignment horizontal="center" vertical="center" wrapText="1"/>
    </xf>
    <xf numFmtId="0" fontId="12" fillId="0" borderId="47" xfId="0" applyFont="1" applyBorder="1" applyAlignment="1">
      <alignment horizontal="center" vertical="center" wrapText="1"/>
    </xf>
    <xf numFmtId="0" fontId="19" fillId="0" borderId="2" xfId="0" applyFont="1" applyBorder="1"/>
    <xf numFmtId="0" fontId="20" fillId="6" borderId="32" xfId="0" applyFont="1" applyFill="1" applyBorder="1" applyAlignment="1">
      <alignment horizontal="center" vertical="center"/>
    </xf>
    <xf numFmtId="0" fontId="9" fillId="0" borderId="0" xfId="0" applyFont="1"/>
    <xf numFmtId="0" fontId="8" fillId="0" borderId="2" xfId="0" applyFont="1" applyBorder="1"/>
    <xf numFmtId="0" fontId="9" fillId="0" borderId="30" xfId="4" applyFont="1" applyFill="1" applyBorder="1" applyAlignment="1">
      <alignment horizontal="center"/>
    </xf>
    <xf numFmtId="1" fontId="9" fillId="0" borderId="30" xfId="0" applyNumberFormat="1" applyFont="1" applyFill="1" applyBorder="1" applyAlignment="1">
      <alignment horizontal="center"/>
    </xf>
    <xf numFmtId="0" fontId="11" fillId="0" borderId="30" xfId="4" applyFont="1" applyFill="1" applyBorder="1" applyAlignment="1">
      <alignment horizontal="center" vertical="center"/>
    </xf>
    <xf numFmtId="0" fontId="11" fillId="0" borderId="31" xfId="4" applyFont="1" applyFill="1" applyBorder="1" applyAlignment="1">
      <alignment horizontal="center" vertical="center"/>
    </xf>
    <xf numFmtId="1" fontId="9" fillId="0" borderId="2" xfId="4" applyNumberFormat="1" applyFont="1" applyFill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1" fontId="9" fillId="0" borderId="0" xfId="0" applyNumberFormat="1" applyFont="1"/>
    <xf numFmtId="0" fontId="11" fillId="5" borderId="6" xfId="0" applyFont="1" applyFill="1" applyBorder="1" applyAlignment="1">
      <alignment vertical="center"/>
    </xf>
    <xf numFmtId="0" fontId="9" fillId="0" borderId="0" xfId="0" applyFont="1" applyAlignment="1">
      <alignment horizontal="left"/>
    </xf>
    <xf numFmtId="2" fontId="9" fillId="0" borderId="0" xfId="0" applyNumberFormat="1" applyFont="1"/>
    <xf numFmtId="0" fontId="9" fillId="0" borderId="4" xfId="0" applyFont="1" applyBorder="1"/>
    <xf numFmtId="0" fontId="4" fillId="0" borderId="0" xfId="0" applyFont="1"/>
    <xf numFmtId="169" fontId="11" fillId="5" borderId="6" xfId="0" applyNumberFormat="1" applyFont="1" applyFill="1" applyBorder="1" applyAlignment="1">
      <alignment horizontal="center"/>
    </xf>
    <xf numFmtId="2" fontId="9" fillId="0" borderId="0" xfId="0" applyNumberFormat="1" applyFont="1" applyAlignment="1">
      <alignment horizontal="center"/>
    </xf>
    <xf numFmtId="169" fontId="9" fillId="0" borderId="0" xfId="0" applyNumberFormat="1" applyFont="1" applyAlignment="1">
      <alignment horizontal="center"/>
    </xf>
    <xf numFmtId="169" fontId="9" fillId="0" borderId="4" xfId="0" applyNumberFormat="1" applyFont="1" applyBorder="1" applyAlignment="1">
      <alignment horizontal="center"/>
    </xf>
    <xf numFmtId="0" fontId="9" fillId="0" borderId="0" xfId="0" applyFont="1" applyFill="1"/>
    <xf numFmtId="0" fontId="9" fillId="0" borderId="0" xfId="0" applyFont="1" applyFill="1" applyAlignment="1">
      <alignment horizontal="left"/>
    </xf>
    <xf numFmtId="0" fontId="4" fillId="0" borderId="17" xfId="0" applyFont="1" applyBorder="1"/>
    <xf numFmtId="0" fontId="4" fillId="0" borderId="17" xfId="0" applyFont="1" applyBorder="1" applyAlignment="1">
      <alignment horizontal="center"/>
    </xf>
    <xf numFmtId="0" fontId="9" fillId="0" borderId="30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9" fillId="0" borderId="31" xfId="0" applyFont="1" applyBorder="1" applyAlignment="1">
      <alignment horizontal="left" vertical="center"/>
    </xf>
    <xf numFmtId="0" fontId="4" fillId="3" borderId="49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4" fillId="0" borderId="1" xfId="4" applyFont="1" applyFill="1" applyBorder="1"/>
    <xf numFmtId="1" fontId="4" fillId="0" borderId="28" xfId="4" applyNumberFormat="1" applyFont="1" applyFill="1" applyBorder="1" applyAlignment="1">
      <alignment horizontal="center"/>
    </xf>
    <xf numFmtId="1" fontId="4" fillId="0" borderId="1" xfId="4" applyNumberFormat="1" applyFont="1" applyFill="1" applyBorder="1" applyAlignment="1">
      <alignment horizontal="center"/>
    </xf>
    <xf numFmtId="1" fontId="4" fillId="0" borderId="29" xfId="4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169" fontId="9" fillId="0" borderId="0" xfId="0" applyNumberFormat="1" applyFont="1" applyBorder="1" applyAlignment="1">
      <alignment horizontal="center" vertical="center"/>
    </xf>
    <xf numFmtId="0" fontId="4" fillId="7" borderId="2" xfId="0" applyFont="1" applyFill="1" applyBorder="1"/>
    <xf numFmtId="169" fontId="4" fillId="7" borderId="2" xfId="0" applyNumberFormat="1" applyFont="1" applyFill="1" applyBorder="1" applyAlignment="1">
      <alignment horizontal="center"/>
    </xf>
    <xf numFmtId="169" fontId="4" fillId="0" borderId="43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"/>
    </xf>
    <xf numFmtId="0" fontId="4" fillId="3" borderId="0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166" fontId="4" fillId="0" borderId="4" xfId="1" applyNumberFormat="1" applyFont="1" applyFill="1" applyBorder="1" applyAlignment="1">
      <alignment horizontal="right" vertical="center"/>
    </xf>
    <xf numFmtId="3" fontId="12" fillId="0" borderId="4" xfId="1" applyNumberFormat="1" applyFont="1" applyFill="1" applyBorder="1" applyAlignment="1">
      <alignment horizontal="right" vertical="center"/>
    </xf>
    <xf numFmtId="165" fontId="4" fillId="0" borderId="6" xfId="1" applyNumberFormat="1" applyFont="1" applyFill="1" applyBorder="1" applyAlignment="1">
      <alignment horizontal="right" vertical="center"/>
    </xf>
    <xf numFmtId="165" fontId="9" fillId="3" borderId="0" xfId="1" applyNumberFormat="1" applyFont="1" applyFill="1" applyBorder="1" applyAlignment="1">
      <alignment horizontal="right" vertical="center"/>
    </xf>
    <xf numFmtId="165" fontId="4" fillId="3" borderId="0" xfId="1" applyNumberFormat="1" applyFont="1" applyFill="1" applyBorder="1" applyAlignment="1">
      <alignment horizontal="right" vertical="center"/>
    </xf>
    <xf numFmtId="167" fontId="22" fillId="3" borderId="5" xfId="1" applyNumberFormat="1" applyFont="1" applyFill="1" applyBorder="1" applyAlignment="1">
      <alignment horizontal="left" vertical="center"/>
    </xf>
    <xf numFmtId="166" fontId="4" fillId="3" borderId="5" xfId="1" applyNumberFormat="1" applyFont="1" applyFill="1" applyBorder="1" applyAlignment="1">
      <alignment horizontal="right" vertical="center"/>
    </xf>
    <xf numFmtId="165" fontId="4" fillId="3" borderId="5" xfId="1" applyNumberFormat="1" applyFont="1" applyFill="1" applyBorder="1" applyAlignment="1">
      <alignment horizontal="right" vertical="center"/>
    </xf>
    <xf numFmtId="166" fontId="4" fillId="0" borderId="2" xfId="1" applyNumberFormat="1" applyFont="1" applyFill="1" applyBorder="1" applyAlignment="1">
      <alignment horizontal="right" vertical="center"/>
    </xf>
    <xf numFmtId="0" fontId="4" fillId="3" borderId="2" xfId="0" applyFont="1" applyFill="1" applyBorder="1" applyAlignment="1">
      <alignment vertical="center"/>
    </xf>
    <xf numFmtId="166" fontId="4" fillId="3" borderId="2" xfId="1" applyNumberFormat="1" applyFont="1" applyFill="1" applyBorder="1" applyAlignment="1">
      <alignment horizontal="center" vertical="center"/>
    </xf>
    <xf numFmtId="165" fontId="4" fillId="3" borderId="17" xfId="1" applyNumberFormat="1" applyFont="1" applyFill="1" applyBorder="1" applyAlignment="1">
      <alignment horizontal="right" vertical="center"/>
    </xf>
    <xf numFmtId="165" fontId="4" fillId="3" borderId="2" xfId="1" applyNumberFormat="1" applyFont="1" applyFill="1" applyBorder="1" applyAlignment="1">
      <alignment horizontal="right" vertical="center"/>
    </xf>
    <xf numFmtId="0" fontId="23" fillId="0" borderId="0" xfId="0" applyFont="1"/>
    <xf numFmtId="165" fontId="4" fillId="0" borderId="0" xfId="1" applyNumberFormat="1" applyFont="1" applyFill="1" applyBorder="1" applyAlignment="1">
      <alignment horizontal="right" vertical="center"/>
    </xf>
    <xf numFmtId="0" fontId="10" fillId="0" borderId="4" xfId="0" applyFont="1" applyBorder="1" applyAlignment="1"/>
    <xf numFmtId="0" fontId="13" fillId="0" borderId="0" xfId="0" applyFont="1" applyFill="1" applyBorder="1" applyAlignment="1">
      <alignment vertical="center"/>
    </xf>
    <xf numFmtId="0" fontId="10" fillId="0" borderId="4" xfId="0" applyFont="1" applyBorder="1" applyAlignment="1">
      <alignment horizontal="left" vertical="center" wrapText="1"/>
    </xf>
    <xf numFmtId="0" fontId="10" fillId="0" borderId="0" xfId="0" applyFont="1" applyBorder="1" applyAlignment="1">
      <alignment vertical="center" wrapText="1"/>
    </xf>
    <xf numFmtId="0" fontId="10" fillId="0" borderId="4" xfId="0" applyFont="1" applyBorder="1" applyAlignment="1">
      <alignment vertical="center"/>
    </xf>
    <xf numFmtId="0" fontId="24" fillId="0" borderId="0" xfId="0" applyFont="1"/>
    <xf numFmtId="0" fontId="25" fillId="0" borderId="0" xfId="0" applyFont="1" applyAlignment="1">
      <alignment horizontal="right" vertical="center"/>
    </xf>
    <xf numFmtId="0" fontId="4" fillId="7" borderId="30" xfId="0" applyFont="1" applyFill="1" applyBorder="1"/>
    <xf numFmtId="0" fontId="4" fillId="7" borderId="0" xfId="0" applyFont="1" applyFill="1" applyBorder="1"/>
    <xf numFmtId="0" fontId="9" fillId="7" borderId="25" xfId="0" applyFont="1" applyFill="1" applyBorder="1" applyAlignment="1">
      <alignment horizontal="center"/>
    </xf>
    <xf numFmtId="0" fontId="9" fillId="7" borderId="0" xfId="0" applyFont="1" applyFill="1" applyBorder="1" applyAlignment="1">
      <alignment horizontal="center"/>
    </xf>
    <xf numFmtId="0" fontId="9" fillId="7" borderId="26" xfId="0" applyFont="1" applyFill="1" applyBorder="1" applyAlignment="1">
      <alignment horizontal="center"/>
    </xf>
    <xf numFmtId="169" fontId="9" fillId="0" borderId="25" xfId="0" applyNumberFormat="1" applyFont="1" applyBorder="1" applyAlignment="1">
      <alignment horizontal="center" vertical="center"/>
    </xf>
    <xf numFmtId="0" fontId="9" fillId="0" borderId="0" xfId="0" applyFont="1" applyBorder="1"/>
    <xf numFmtId="169" fontId="9" fillId="0" borderId="26" xfId="0" applyNumberFormat="1" applyFont="1" applyBorder="1" applyAlignment="1">
      <alignment horizontal="center" vertical="center"/>
    </xf>
    <xf numFmtId="2" fontId="9" fillId="0" borderId="0" xfId="0" applyNumberFormat="1" applyFont="1" applyBorder="1" applyAlignment="1">
      <alignment horizontal="center" vertical="center"/>
    </xf>
    <xf numFmtId="2" fontId="9" fillId="0" borderId="26" xfId="0" applyNumberFormat="1" applyFont="1" applyBorder="1" applyAlignment="1">
      <alignment horizontal="center" vertical="center"/>
    </xf>
    <xf numFmtId="169" fontId="4" fillId="7" borderId="0" xfId="0" applyNumberFormat="1" applyFont="1" applyFill="1" applyBorder="1" applyAlignment="1">
      <alignment horizontal="center"/>
    </xf>
    <xf numFmtId="169" fontId="4" fillId="7" borderId="25" xfId="0" applyNumberFormat="1" applyFont="1" applyFill="1" applyBorder="1" applyAlignment="1">
      <alignment horizontal="center"/>
    </xf>
    <xf numFmtId="169" fontId="4" fillId="7" borderId="26" xfId="0" applyNumberFormat="1" applyFont="1" applyFill="1" applyBorder="1" applyAlignment="1">
      <alignment horizontal="center"/>
    </xf>
    <xf numFmtId="169" fontId="9" fillId="0" borderId="2" xfId="0" applyNumberFormat="1" applyFont="1" applyBorder="1" applyAlignment="1">
      <alignment horizontal="center" vertical="center"/>
    </xf>
    <xf numFmtId="169" fontId="9" fillId="0" borderId="12" xfId="0" applyNumberFormat="1" applyFont="1" applyBorder="1" applyAlignment="1">
      <alignment horizontal="center" vertical="center"/>
    </xf>
    <xf numFmtId="169" fontId="9" fillId="0" borderId="4" xfId="0" applyNumberFormat="1" applyFont="1" applyBorder="1" applyAlignment="1">
      <alignment horizontal="center" vertical="center"/>
    </xf>
    <xf numFmtId="169" fontId="9" fillId="0" borderId="50" xfId="0" applyNumberFormat="1" applyFont="1" applyBorder="1" applyAlignment="1">
      <alignment horizontal="center" vertical="center"/>
    </xf>
    <xf numFmtId="0" fontId="4" fillId="7" borderId="49" xfId="0" applyFont="1" applyFill="1" applyBorder="1"/>
    <xf numFmtId="0" fontId="4" fillId="7" borderId="3" xfId="0" applyFont="1" applyFill="1" applyBorder="1"/>
    <xf numFmtId="0" fontId="4" fillId="7" borderId="9" xfId="0" applyFont="1" applyFill="1" applyBorder="1"/>
    <xf numFmtId="0" fontId="9" fillId="0" borderId="30" xfId="0" applyFont="1" applyBorder="1"/>
    <xf numFmtId="169" fontId="9" fillId="0" borderId="0" xfId="0" applyNumberFormat="1" applyFont="1" applyBorder="1"/>
    <xf numFmtId="169" fontId="9" fillId="0" borderId="11" xfId="0" applyNumberFormat="1" applyFont="1" applyBorder="1"/>
    <xf numFmtId="0" fontId="9" fillId="0" borderId="31" xfId="0" applyFont="1" applyBorder="1"/>
    <xf numFmtId="0" fontId="9" fillId="0" borderId="2" xfId="0" applyFont="1" applyBorder="1"/>
    <xf numFmtId="169" fontId="9" fillId="0" borderId="2" xfId="0" applyNumberFormat="1" applyFont="1" applyBorder="1"/>
    <xf numFmtId="169" fontId="9" fillId="0" borderId="20" xfId="0" applyNumberFormat="1" applyFont="1" applyBorder="1"/>
    <xf numFmtId="164" fontId="9" fillId="0" borderId="0" xfId="0" applyNumberFormat="1" applyFont="1"/>
    <xf numFmtId="171" fontId="9" fillId="0" borderId="0" xfId="0" applyNumberFormat="1" applyFont="1"/>
    <xf numFmtId="169" fontId="9" fillId="0" borderId="0" xfId="0" applyNumberFormat="1" applyFont="1"/>
    <xf numFmtId="0" fontId="12" fillId="5" borderId="0" xfId="0" applyFont="1" applyFill="1" applyAlignment="1">
      <alignment vertical="center" wrapText="1"/>
    </xf>
    <xf numFmtId="2" fontId="12" fillId="0" borderId="0" xfId="0" applyNumberFormat="1" applyFont="1" applyAlignment="1">
      <alignment horizontal="center"/>
    </xf>
    <xf numFmtId="0" fontId="11" fillId="5" borderId="0" xfId="0" applyFont="1" applyFill="1" applyAlignment="1">
      <alignment vertical="center" wrapText="1"/>
    </xf>
    <xf numFmtId="169" fontId="11" fillId="0" borderId="0" xfId="0" applyNumberFormat="1" applyFont="1" applyFill="1" applyAlignment="1">
      <alignment horizontal="center"/>
    </xf>
    <xf numFmtId="169" fontId="11" fillId="5" borderId="0" xfId="0" applyNumberFormat="1" applyFont="1" applyFill="1" applyAlignment="1">
      <alignment horizontal="center"/>
    </xf>
    <xf numFmtId="0" fontId="12" fillId="5" borderId="0" xfId="0" applyFont="1" applyFill="1" applyAlignment="1">
      <alignment vertical="center"/>
    </xf>
    <xf numFmtId="169" fontId="12" fillId="5" borderId="0" xfId="0" applyNumberFormat="1" applyFont="1" applyFill="1" applyAlignment="1">
      <alignment horizontal="center"/>
    </xf>
    <xf numFmtId="0" fontId="12" fillId="0" borderId="6" xfId="0" applyFont="1" applyBorder="1" applyAlignment="1">
      <alignment vertical="center"/>
    </xf>
    <xf numFmtId="2" fontId="12" fillId="0" borderId="6" xfId="0" applyNumberFormat="1" applyFont="1" applyBorder="1" applyAlignment="1">
      <alignment horizontal="center"/>
    </xf>
    <xf numFmtId="169" fontId="11" fillId="0" borderId="0" xfId="0" applyNumberFormat="1" applyFont="1" applyAlignment="1">
      <alignment horizontal="center"/>
    </xf>
    <xf numFmtId="0" fontId="12" fillId="5" borderId="2" xfId="0" applyFont="1" applyFill="1" applyBorder="1" applyAlignment="1">
      <alignment vertical="center" wrapText="1"/>
    </xf>
    <xf numFmtId="2" fontId="12" fillId="5" borderId="2" xfId="0" applyNumberFormat="1" applyFont="1" applyFill="1" applyBorder="1" applyAlignment="1">
      <alignment horizontal="center"/>
    </xf>
    <xf numFmtId="166" fontId="12" fillId="5" borderId="0" xfId="1" applyNumberFormat="1" applyFont="1" applyFill="1" applyAlignment="1"/>
    <xf numFmtId="0" fontId="25" fillId="5" borderId="0" xfId="0" applyFont="1" applyFill="1" applyAlignment="1">
      <alignment horizontal="left" vertical="center" wrapText="1" indent="1"/>
    </xf>
    <xf numFmtId="166" fontId="11" fillId="0" borderId="0" xfId="1" applyNumberFormat="1" applyFont="1" applyAlignment="1">
      <alignment horizontal="center"/>
    </xf>
    <xf numFmtId="166" fontId="12" fillId="5" borderId="0" xfId="1" applyNumberFormat="1" applyFont="1" applyFill="1" applyAlignment="1">
      <alignment horizontal="right"/>
    </xf>
    <xf numFmtId="0" fontId="9" fillId="0" borderId="17" xfId="0" applyFont="1" applyBorder="1"/>
    <xf numFmtId="2" fontId="11" fillId="5" borderId="0" xfId="0" applyNumberFormat="1" applyFont="1" applyFill="1" applyAlignment="1">
      <alignment horizontal="center"/>
    </xf>
    <xf numFmtId="0" fontId="11" fillId="5" borderId="4" xfId="0" applyFont="1" applyFill="1" applyBorder="1" applyAlignment="1">
      <alignment vertical="center" wrapText="1"/>
    </xf>
    <xf numFmtId="2" fontId="11" fillId="5" borderId="4" xfId="0" applyNumberFormat="1" applyFont="1" applyFill="1" applyBorder="1" applyAlignment="1">
      <alignment horizontal="center"/>
    </xf>
    <xf numFmtId="2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5" borderId="0" xfId="0" applyFont="1" applyFill="1" applyAlignment="1">
      <alignment horizontal="center" vertical="center"/>
    </xf>
    <xf numFmtId="169" fontId="12" fillId="5" borderId="0" xfId="0" applyNumberFormat="1" applyFont="1" applyFill="1" applyAlignment="1">
      <alignment horizontal="center" vertical="center" wrapText="1"/>
    </xf>
    <xf numFmtId="169" fontId="11" fillId="5" borderId="0" xfId="0" applyNumberFormat="1" applyFont="1" applyFill="1" applyAlignment="1">
      <alignment horizontal="center" vertical="center"/>
    </xf>
    <xf numFmtId="169" fontId="11" fillId="5" borderId="0" xfId="0" applyNumberFormat="1" applyFont="1" applyFill="1" applyAlignment="1">
      <alignment horizontal="center" vertical="center" wrapText="1"/>
    </xf>
    <xf numFmtId="169" fontId="12" fillId="5" borderId="0" xfId="0" applyNumberFormat="1" applyFont="1" applyFill="1" applyAlignment="1">
      <alignment horizontal="center" vertical="center"/>
    </xf>
    <xf numFmtId="0" fontId="11" fillId="0" borderId="6" xfId="0" applyFont="1" applyBorder="1" applyAlignment="1">
      <alignment vertical="center"/>
    </xf>
    <xf numFmtId="169" fontId="11" fillId="0" borderId="6" xfId="0" applyNumberFormat="1" applyFont="1" applyBorder="1" applyAlignment="1">
      <alignment horizontal="center" vertical="center"/>
    </xf>
    <xf numFmtId="169" fontId="11" fillId="0" borderId="6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vertical="center"/>
    </xf>
    <xf numFmtId="169" fontId="3" fillId="0" borderId="4" xfId="0" applyNumberFormat="1" applyFont="1" applyFill="1" applyBorder="1" applyAlignment="1">
      <alignment horizontal="center" vertical="center"/>
    </xf>
    <xf numFmtId="169" fontId="3" fillId="0" borderId="4" xfId="0" applyNumberFormat="1" applyFont="1" applyFill="1" applyBorder="1" applyAlignment="1">
      <alignment horizontal="center" vertical="center" wrapText="1"/>
    </xf>
    <xf numFmtId="0" fontId="11" fillId="5" borderId="51" xfId="0" applyFont="1" applyFill="1" applyBorder="1" applyAlignment="1">
      <alignment vertical="center" wrapText="1"/>
    </xf>
    <xf numFmtId="170" fontId="11" fillId="5" borderId="53" xfId="1" applyNumberFormat="1" applyFont="1" applyFill="1" applyBorder="1" applyAlignment="1">
      <alignment horizontal="center" vertical="center"/>
    </xf>
    <xf numFmtId="170" fontId="11" fillId="5" borderId="48" xfId="1" applyNumberFormat="1" applyFont="1" applyFill="1" applyBorder="1" applyAlignment="1">
      <alignment horizontal="center" vertical="center"/>
    </xf>
    <xf numFmtId="170" fontId="11" fillId="0" borderId="52" xfId="1" applyNumberFormat="1" applyFont="1" applyFill="1" applyBorder="1" applyAlignment="1">
      <alignment horizontal="center" vertical="center"/>
    </xf>
    <xf numFmtId="170" fontId="11" fillId="0" borderId="51" xfId="1" applyNumberFormat="1" applyFont="1" applyFill="1" applyBorder="1" applyAlignment="1">
      <alignment horizontal="center" vertical="center"/>
    </xf>
    <xf numFmtId="3" fontId="9" fillId="0" borderId="0" xfId="0" applyNumberFormat="1" applyFont="1"/>
    <xf numFmtId="2" fontId="9" fillId="0" borderId="0" xfId="0" applyNumberFormat="1" applyFont="1" applyFill="1" applyAlignment="1">
      <alignment horizontal="center"/>
    </xf>
    <xf numFmtId="0" fontId="4" fillId="0" borderId="0" xfId="0" applyFont="1" applyFill="1" applyBorder="1" applyAlignment="1"/>
    <xf numFmtId="0" fontId="4" fillId="0" borderId="0" xfId="0" applyFont="1" applyFill="1" applyBorder="1"/>
    <xf numFmtId="0" fontId="9" fillId="0" borderId="0" xfId="0" applyFont="1" applyFill="1" applyBorder="1"/>
    <xf numFmtId="1" fontId="9" fillId="0" borderId="0" xfId="0" applyNumberFormat="1" applyFont="1" applyFill="1" applyBorder="1"/>
    <xf numFmtId="3" fontId="9" fillId="0" borderId="0" xfId="0" applyNumberFormat="1" applyFont="1" applyFill="1" applyBorder="1"/>
    <xf numFmtId="2" fontId="9" fillId="0" borderId="0" xfId="0" applyNumberFormat="1" applyFont="1" applyFill="1" applyBorder="1"/>
    <xf numFmtId="0" fontId="26" fillId="0" borderId="4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center" vertical="center"/>
    </xf>
    <xf numFmtId="164" fontId="27" fillId="0" borderId="1" xfId="0" applyNumberFormat="1" applyFont="1" applyFill="1" applyBorder="1" applyAlignment="1">
      <alignment horizontal="right" vertical="center"/>
    </xf>
    <xf numFmtId="0" fontId="16" fillId="0" borderId="0" xfId="3" applyFont="1" applyFill="1" applyBorder="1" applyAlignment="1">
      <alignment horizontal="left" vertical="center" wrapText="1"/>
    </xf>
    <xf numFmtId="165" fontId="16" fillId="0" borderId="0" xfId="1" applyNumberFormat="1" applyFont="1" applyFill="1" applyBorder="1" applyAlignment="1">
      <alignment horizontal="right" vertical="center"/>
    </xf>
    <xf numFmtId="0" fontId="16" fillId="0" borderId="2" xfId="3" applyFont="1" applyFill="1" applyBorder="1" applyAlignment="1">
      <alignment horizontal="left" vertical="center" wrapText="1"/>
    </xf>
    <xf numFmtId="3" fontId="16" fillId="0" borderId="0" xfId="1" applyNumberFormat="1" applyFont="1" applyFill="1" applyBorder="1" applyAlignment="1">
      <alignment horizontal="right" vertical="center"/>
    </xf>
    <xf numFmtId="3" fontId="27" fillId="0" borderId="1" xfId="0" applyNumberFormat="1" applyFont="1" applyFill="1" applyBorder="1" applyAlignment="1">
      <alignment horizontal="right" vertical="center"/>
    </xf>
    <xf numFmtId="0" fontId="16" fillId="0" borderId="0" xfId="3" applyFont="1" applyFill="1" applyBorder="1" applyAlignment="1">
      <alignment horizontal="left" vertical="center" wrapText="1" indent="1"/>
    </xf>
    <xf numFmtId="3" fontId="16" fillId="0" borderId="3" xfId="1" applyNumberFormat="1" applyFont="1" applyFill="1" applyBorder="1" applyAlignment="1">
      <alignment horizontal="right" vertical="center"/>
    </xf>
    <xf numFmtId="49" fontId="9" fillId="0" borderId="0" xfId="0" applyNumberFormat="1" applyFont="1" applyFill="1" applyBorder="1" applyAlignment="1">
      <alignment horizontal="left" vertical="center" indent="2"/>
    </xf>
    <xf numFmtId="3" fontId="9" fillId="0" borderId="0" xfId="1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left" vertical="center" indent="2"/>
    </xf>
    <xf numFmtId="49" fontId="9" fillId="0" borderId="0" xfId="0" applyNumberFormat="1" applyFont="1" applyFill="1" applyBorder="1" applyAlignment="1">
      <alignment horizontal="left" vertical="center" wrapText="1" indent="2"/>
    </xf>
    <xf numFmtId="0" fontId="28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 wrapText="1"/>
    </xf>
    <xf numFmtId="165" fontId="9" fillId="0" borderId="0" xfId="1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168" fontId="9" fillId="0" borderId="0" xfId="1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horizontal="center"/>
    </xf>
    <xf numFmtId="167" fontId="9" fillId="0" borderId="2" xfId="1" applyNumberFormat="1" applyFont="1" applyFill="1" applyBorder="1" applyAlignment="1">
      <alignment horizontal="left" vertical="center"/>
    </xf>
    <xf numFmtId="167" fontId="9" fillId="0" borderId="2" xfId="1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left" vertical="center" wrapText="1" indent="1"/>
    </xf>
    <xf numFmtId="167" fontId="9" fillId="0" borderId="0" xfId="1" applyNumberFormat="1" applyFont="1" applyFill="1" applyBorder="1" applyAlignment="1">
      <alignment horizontal="right" vertical="center"/>
    </xf>
    <xf numFmtId="167" fontId="9" fillId="0" borderId="4" xfId="1" applyNumberFormat="1" applyFont="1" applyFill="1" applyBorder="1" applyAlignment="1">
      <alignment horizontal="right" vertical="center"/>
    </xf>
    <xf numFmtId="0" fontId="13" fillId="0" borderId="0" xfId="0" applyFont="1" applyFill="1"/>
    <xf numFmtId="0" fontId="3" fillId="0" borderId="4" xfId="0" applyFont="1" applyFill="1" applyBorder="1" applyAlignment="1">
      <alignment horizontal="center" vertical="center"/>
    </xf>
    <xf numFmtId="166" fontId="16" fillId="0" borderId="34" xfId="1" applyNumberFormat="1" applyFont="1" applyFill="1" applyBorder="1" applyAlignment="1" applyProtection="1"/>
    <xf numFmtId="166" fontId="9" fillId="0" borderId="5" xfId="1" applyNumberFormat="1" applyFont="1" applyFill="1" applyBorder="1" applyAlignment="1">
      <alignment horizontal="center" vertical="center"/>
    </xf>
    <xf numFmtId="166" fontId="9" fillId="0" borderId="33" xfId="1" applyNumberFormat="1" applyFont="1" applyFill="1" applyBorder="1" applyAlignment="1">
      <alignment horizontal="center" vertical="center"/>
    </xf>
    <xf numFmtId="166" fontId="9" fillId="0" borderId="25" xfId="1" applyNumberFormat="1" applyFont="1" applyFill="1" applyBorder="1"/>
    <xf numFmtId="166" fontId="9" fillId="0" borderId="0" xfId="1" applyNumberFormat="1" applyFont="1" applyFill="1" applyBorder="1" applyAlignment="1">
      <alignment horizontal="center" vertical="center"/>
    </xf>
    <xf numFmtId="166" fontId="9" fillId="0" borderId="26" xfId="1" applyNumberFormat="1" applyFont="1" applyFill="1" applyBorder="1" applyAlignment="1">
      <alignment horizontal="center" vertical="center"/>
    </xf>
    <xf numFmtId="166" fontId="9" fillId="0" borderId="25" xfId="1" applyNumberFormat="1" applyFont="1" applyFill="1" applyBorder="1" applyAlignment="1">
      <alignment horizontal="left" indent="1"/>
    </xf>
    <xf numFmtId="166" fontId="9" fillId="0" borderId="12" xfId="1" applyNumberFormat="1" applyFont="1" applyFill="1" applyBorder="1"/>
    <xf numFmtId="166" fontId="9" fillId="0" borderId="4" xfId="1" applyNumberFormat="1" applyFont="1" applyFill="1" applyBorder="1" applyAlignment="1">
      <alignment horizontal="center" vertical="center"/>
    </xf>
    <xf numFmtId="166" fontId="9" fillId="0" borderId="50" xfId="1" applyNumberFormat="1" applyFont="1" applyFill="1" applyBorder="1" applyAlignment="1">
      <alignment horizontal="center" vertical="center"/>
    </xf>
    <xf numFmtId="0" fontId="12" fillId="0" borderId="24" xfId="0" applyFont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16" fillId="0" borderId="5" xfId="0" applyFont="1" applyFill="1" applyBorder="1" applyAlignment="1">
      <alignment vertical="center" wrapText="1"/>
    </xf>
    <xf numFmtId="0" fontId="16" fillId="0" borderId="5" xfId="0" applyFont="1" applyFill="1" applyBorder="1" applyAlignment="1">
      <alignment horizontal="right" vertical="center"/>
    </xf>
    <xf numFmtId="0" fontId="16" fillId="0" borderId="5" xfId="0" applyFont="1" applyFill="1" applyBorder="1" applyAlignment="1">
      <alignment horizontal="left" vertical="center" wrapText="1" indent="1"/>
    </xf>
    <xf numFmtId="169" fontId="16" fillId="0" borderId="5" xfId="0" applyNumberFormat="1" applyFont="1" applyFill="1" applyBorder="1" applyAlignment="1">
      <alignment horizontal="right" vertical="center"/>
    </xf>
    <xf numFmtId="2" fontId="16" fillId="0" borderId="5" xfId="0" applyNumberFormat="1" applyFont="1" applyFill="1" applyBorder="1" applyAlignment="1">
      <alignment horizontal="right" vertical="center"/>
    </xf>
    <xf numFmtId="0" fontId="16" fillId="0" borderId="0" xfId="0" applyFont="1" applyFill="1" applyAlignment="1">
      <alignment horizontal="left" vertical="center" wrapText="1" indent="1"/>
    </xf>
    <xf numFmtId="169" fontId="16" fillId="0" borderId="0" xfId="0" applyNumberFormat="1" applyFont="1" applyFill="1" applyAlignment="1">
      <alignment horizontal="right" vertical="center"/>
    </xf>
    <xf numFmtId="0" fontId="16" fillId="0" borderId="4" xfId="0" applyFont="1" applyFill="1" applyBorder="1" applyAlignment="1">
      <alignment horizontal="left" vertical="center" wrapText="1" indent="1"/>
    </xf>
    <xf numFmtId="169" fontId="16" fillId="0" borderId="4" xfId="0" applyNumberFormat="1" applyFont="1" applyFill="1" applyBorder="1" applyAlignment="1">
      <alignment horizontal="right" vertical="center"/>
    </xf>
    <xf numFmtId="165" fontId="3" fillId="0" borderId="6" xfId="1" applyNumberFormat="1" applyFont="1" applyFill="1" applyBorder="1" applyAlignment="1">
      <alignment horizontal="right" vertical="center"/>
    </xf>
    <xf numFmtId="165" fontId="3" fillId="0" borderId="4" xfId="0" applyNumberFormat="1" applyFont="1" applyFill="1" applyBorder="1" applyAlignment="1">
      <alignment horizontal="right" vertical="center"/>
    </xf>
    <xf numFmtId="169" fontId="3" fillId="0" borderId="4" xfId="0" applyNumberFormat="1" applyFont="1" applyFill="1" applyBorder="1" applyAlignment="1">
      <alignment horizontal="right" vertical="center"/>
    </xf>
    <xf numFmtId="166" fontId="3" fillId="0" borderId="4" xfId="1" applyNumberFormat="1" applyFont="1" applyFill="1" applyBorder="1" applyAlignment="1">
      <alignment horizontal="right" vertical="center"/>
    </xf>
    <xf numFmtId="0" fontId="11" fillId="0" borderId="1" xfId="0" applyFont="1" applyBorder="1" applyAlignment="1">
      <alignment vertical="center"/>
    </xf>
    <xf numFmtId="0" fontId="12" fillId="0" borderId="1" xfId="0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1" fontId="16" fillId="0" borderId="0" xfId="0" applyNumberFormat="1" applyFont="1" applyFill="1" applyAlignment="1">
      <alignment horizontal="right" vertical="center"/>
    </xf>
    <xf numFmtId="0" fontId="12" fillId="0" borderId="1" xfId="0" applyFont="1" applyFill="1" applyBorder="1" applyAlignment="1">
      <alignment vertical="center"/>
    </xf>
    <xf numFmtId="169" fontId="12" fillId="0" borderId="1" xfId="1" applyNumberFormat="1" applyFont="1" applyFill="1" applyBorder="1" applyAlignment="1">
      <alignment horizontal="right" vertical="center"/>
    </xf>
    <xf numFmtId="0" fontId="9" fillId="0" borderId="4" xfId="0" applyFont="1" applyFill="1" applyBorder="1"/>
    <xf numFmtId="0" fontId="11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right" vertical="center"/>
    </xf>
    <xf numFmtId="0" fontId="11" fillId="0" borderId="0" xfId="0" applyNumberFormat="1" applyFont="1" applyFill="1" applyBorder="1" applyAlignment="1">
      <alignment vertical="center"/>
    </xf>
    <xf numFmtId="0" fontId="11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Alignment="1">
      <alignment vertical="center"/>
    </xf>
    <xf numFmtId="0" fontId="11" fillId="0" borderId="0" xfId="0" applyNumberFormat="1" applyFont="1" applyFill="1" applyAlignment="1">
      <alignment horizontal="right" vertical="center"/>
    </xf>
    <xf numFmtId="0" fontId="9" fillId="0" borderId="0" xfId="0" applyFont="1" applyAlignment="1">
      <alignment vertical="center"/>
    </xf>
    <xf numFmtId="0" fontId="11" fillId="0" borderId="4" xfId="0" applyFont="1" applyBorder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69" fontId="11" fillId="0" borderId="34" xfId="0" applyNumberFormat="1" applyFont="1" applyBorder="1" applyAlignment="1">
      <alignment horizontal="center" vertical="center"/>
    </xf>
    <xf numFmtId="169" fontId="11" fillId="0" borderId="33" xfId="0" applyNumberFormat="1" applyFont="1" applyBorder="1" applyAlignment="1">
      <alignment horizontal="center" vertical="center"/>
    </xf>
    <xf numFmtId="169" fontId="11" fillId="0" borderId="5" xfId="0" applyNumberFormat="1" applyFont="1" applyBorder="1" applyAlignment="1">
      <alignment horizontal="center" vertical="center"/>
    </xf>
    <xf numFmtId="169" fontId="11" fillId="0" borderId="25" xfId="0" applyNumberFormat="1" applyFont="1" applyBorder="1" applyAlignment="1">
      <alignment horizontal="center" vertical="center"/>
    </xf>
    <xf numFmtId="169" fontId="11" fillId="0" borderId="26" xfId="0" applyNumberFormat="1" applyFont="1" applyBorder="1" applyAlignment="1">
      <alignment horizontal="center" vertical="center"/>
    </xf>
    <xf numFmtId="169" fontId="11" fillId="0" borderId="0" xfId="0" applyNumberFormat="1" applyFont="1" applyAlignment="1">
      <alignment horizontal="center" vertical="center"/>
    </xf>
    <xf numFmtId="169" fontId="11" fillId="0" borderId="0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169" fontId="12" fillId="0" borderId="12" xfId="0" applyNumberFormat="1" applyFont="1" applyBorder="1" applyAlignment="1">
      <alignment horizontal="center" vertical="center"/>
    </xf>
    <xf numFmtId="169" fontId="12" fillId="0" borderId="26" xfId="0" applyNumberFormat="1" applyFont="1" applyBorder="1" applyAlignment="1">
      <alignment horizontal="center" vertical="center"/>
    </xf>
    <xf numFmtId="169" fontId="12" fillId="0" borderId="4" xfId="0" applyNumberFormat="1" applyFont="1" applyBorder="1" applyAlignment="1">
      <alignment horizontal="center" vertical="center"/>
    </xf>
    <xf numFmtId="169" fontId="12" fillId="0" borderId="0" xfId="0" applyNumberFormat="1" applyFont="1" applyBorder="1" applyAlignment="1">
      <alignment horizontal="center" vertical="center"/>
    </xf>
    <xf numFmtId="0" fontId="22" fillId="0" borderId="5" xfId="0" applyFont="1" applyBorder="1" applyAlignment="1">
      <alignment vertical="center"/>
    </xf>
    <xf numFmtId="169" fontId="25" fillId="0" borderId="25" xfId="0" applyNumberFormat="1" applyFont="1" applyBorder="1" applyAlignment="1">
      <alignment horizontal="center" vertical="center"/>
    </xf>
    <xf numFmtId="169" fontId="25" fillId="0" borderId="33" xfId="0" applyNumberFormat="1" applyFont="1" applyBorder="1" applyAlignment="1">
      <alignment horizontal="center" vertical="center"/>
    </xf>
    <xf numFmtId="169" fontId="25" fillId="0" borderId="0" xfId="0" applyNumberFormat="1" applyFont="1" applyAlignment="1">
      <alignment horizontal="center" vertical="center"/>
    </xf>
    <xf numFmtId="169" fontId="25" fillId="0" borderId="5" xfId="0" applyNumberFormat="1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 indent="1"/>
    </xf>
    <xf numFmtId="1" fontId="16" fillId="0" borderId="0" xfId="5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indent="1"/>
    </xf>
    <xf numFmtId="1" fontId="16" fillId="0" borderId="0" xfId="5" applyNumberFormat="1" applyFont="1" applyFill="1" applyBorder="1" applyAlignment="1">
      <alignment horizontal="center" vertical="center" wrapText="1"/>
    </xf>
    <xf numFmtId="1" fontId="9" fillId="0" borderId="0" xfId="0" applyNumberFormat="1" applyFont="1" applyFill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 indent="1"/>
    </xf>
    <xf numFmtId="1" fontId="11" fillId="0" borderId="4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 indent="1"/>
    </xf>
    <xf numFmtId="1" fontId="12" fillId="0" borderId="4" xfId="0" applyNumberFormat="1" applyFont="1" applyBorder="1" applyAlignment="1">
      <alignment horizontal="center" vertical="center"/>
    </xf>
    <xf numFmtId="0" fontId="12" fillId="0" borderId="4" xfId="0" applyFont="1" applyFill="1" applyBorder="1" applyAlignment="1">
      <alignment horizontal="left" vertical="center" indent="1"/>
    </xf>
    <xf numFmtId="169" fontId="12" fillId="0" borderId="4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/>
    </xf>
    <xf numFmtId="1" fontId="16" fillId="0" borderId="2" xfId="5" applyNumberFormat="1" applyFont="1" applyFill="1" applyBorder="1" applyAlignment="1">
      <alignment horizontal="center" vertical="center" wrapText="1"/>
    </xf>
    <xf numFmtId="0" fontId="9" fillId="0" borderId="51" xfId="0" applyFont="1" applyBorder="1" applyAlignment="1">
      <alignment horizontal="left"/>
    </xf>
    <xf numFmtId="1" fontId="16" fillId="0" borderId="51" xfId="5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top" wrapText="1"/>
    </xf>
    <xf numFmtId="1" fontId="12" fillId="0" borderId="6" xfId="0" applyNumberFormat="1" applyFont="1" applyBorder="1" applyAlignment="1">
      <alignment horizontal="center" vertical="center"/>
    </xf>
    <xf numFmtId="169" fontId="12" fillId="0" borderId="6" xfId="0" applyNumberFormat="1" applyFont="1" applyBorder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" fontId="11" fillId="0" borderId="0" xfId="0" applyNumberFormat="1" applyFont="1" applyFill="1" applyAlignment="1">
      <alignment horizontal="center" vertical="center"/>
    </xf>
    <xf numFmtId="3" fontId="12" fillId="0" borderId="6" xfId="0" applyNumberFormat="1" applyFont="1" applyBorder="1" applyAlignment="1">
      <alignment horizontal="center" vertical="center"/>
    </xf>
    <xf numFmtId="0" fontId="24" fillId="0" borderId="0" xfId="0" applyFont="1" applyAlignment="1">
      <alignment vertical="center" textRotation="90"/>
    </xf>
    <xf numFmtId="0" fontId="12" fillId="0" borderId="22" xfId="0" applyFont="1" applyFill="1" applyBorder="1" applyAlignment="1">
      <alignment vertical="center"/>
    </xf>
    <xf numFmtId="1" fontId="12" fillId="0" borderId="22" xfId="0" applyNumberFormat="1" applyFont="1" applyFill="1" applyBorder="1" applyAlignment="1">
      <alignment horizontal="center" vertical="center"/>
    </xf>
    <xf numFmtId="169" fontId="12" fillId="0" borderId="22" xfId="0" applyNumberFormat="1" applyFont="1" applyFill="1" applyBorder="1" applyAlignment="1">
      <alignment horizontal="center" vertical="center"/>
    </xf>
    <xf numFmtId="0" fontId="9" fillId="0" borderId="0" xfId="4" applyFont="1" applyFill="1" applyBorder="1" applyAlignment="1">
      <alignment horizontal="center"/>
    </xf>
    <xf numFmtId="3" fontId="16" fillId="0" borderId="11" xfId="0" applyNumberFormat="1" applyFont="1" applyFill="1" applyBorder="1" applyAlignment="1">
      <alignment horizontal="center" vertical="center" wrapText="1"/>
    </xf>
    <xf numFmtId="3" fontId="16" fillId="0" borderId="20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3" fontId="11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 indent="1"/>
    </xf>
    <xf numFmtId="0" fontId="9" fillId="0" borderId="0" xfId="0" applyFont="1" applyFill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vertical="center"/>
    </xf>
    <xf numFmtId="0" fontId="11" fillId="0" borderId="4" xfId="0" applyFont="1" applyFill="1" applyBorder="1" applyAlignment="1">
      <alignment horizontal="center" vertical="center"/>
    </xf>
    <xf numFmtId="3" fontId="11" fillId="0" borderId="4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vertical="center" indent="1"/>
    </xf>
    <xf numFmtId="0" fontId="11" fillId="0" borderId="0" xfId="0" applyFont="1" applyFill="1" applyAlignment="1">
      <alignment horizontal="center" vertical="center"/>
    </xf>
    <xf numFmtId="3" fontId="11" fillId="0" borderId="0" xfId="0" applyNumberFormat="1" applyFont="1" applyFill="1" applyAlignment="1">
      <alignment horizontal="center" vertical="center"/>
    </xf>
    <xf numFmtId="0" fontId="11" fillId="0" borderId="4" xfId="0" applyFont="1" applyFill="1" applyBorder="1" applyAlignment="1">
      <alignment horizontal="left" vertical="center" indent="1"/>
    </xf>
    <xf numFmtId="0" fontId="30" fillId="0" borderId="0" xfId="6" applyFont="1"/>
    <xf numFmtId="0" fontId="31" fillId="0" borderId="0" xfId="6" applyFont="1"/>
    <xf numFmtId="0" fontId="9" fillId="0" borderId="13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9" fillId="0" borderId="14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left" vertical="center"/>
    </xf>
    <xf numFmtId="0" fontId="4" fillId="4" borderId="17" xfId="0" applyFont="1" applyFill="1" applyBorder="1" applyAlignment="1">
      <alignment horizontal="left" vertical="center"/>
    </xf>
    <xf numFmtId="0" fontId="4" fillId="4" borderId="18" xfId="0" applyFont="1" applyFill="1" applyBorder="1" applyAlignment="1">
      <alignment horizontal="left" vertical="center"/>
    </xf>
    <xf numFmtId="0" fontId="4" fillId="4" borderId="6" xfId="0" applyFont="1" applyFill="1" applyBorder="1" applyAlignment="1">
      <alignment horizontal="left" vertical="center"/>
    </xf>
    <xf numFmtId="0" fontId="25" fillId="0" borderId="0" xfId="0" applyFont="1" applyAlignment="1">
      <alignment horizontal="right" vertical="center"/>
    </xf>
    <xf numFmtId="0" fontId="10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/>
    </xf>
    <xf numFmtId="0" fontId="9" fillId="0" borderId="0" xfId="0" applyFont="1" applyAlignment="1">
      <alignment horizontal="right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25" fillId="0" borderId="5" xfId="0" applyFont="1" applyBorder="1" applyAlignment="1">
      <alignment horizontal="right" vertical="center"/>
    </xf>
    <xf numFmtId="0" fontId="10" fillId="0" borderId="4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4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25" fillId="0" borderId="0" xfId="0" applyFont="1" applyBorder="1" applyAlignment="1">
      <alignment horizontal="right" vertical="center"/>
    </xf>
    <xf numFmtId="0" fontId="25" fillId="0" borderId="0" xfId="0" applyFont="1" applyFill="1" applyAlignment="1">
      <alignment horizontal="right" vertical="center"/>
    </xf>
    <xf numFmtId="0" fontId="10" fillId="0" borderId="4" xfId="0" applyFont="1" applyBorder="1" applyAlignment="1">
      <alignment vertical="center"/>
    </xf>
    <xf numFmtId="0" fontId="12" fillId="0" borderId="34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right" vertical="center"/>
    </xf>
    <xf numFmtId="0" fontId="10" fillId="0" borderId="4" xfId="4" applyFont="1" applyFill="1" applyBorder="1" applyAlignment="1">
      <alignment horizontal="center" wrapText="1"/>
    </xf>
    <xf numFmtId="0" fontId="10" fillId="0" borderId="4" xfId="4" applyFont="1" applyFill="1" applyBorder="1" applyAlignment="1">
      <alignment horizontal="center"/>
    </xf>
    <xf numFmtId="0" fontId="29" fillId="0" borderId="3" xfId="6" applyFont="1" applyBorder="1" applyAlignment="1">
      <alignment horizontal="center" vertical="center"/>
    </xf>
    <xf numFmtId="0" fontId="25" fillId="0" borderId="5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166" fontId="9" fillId="0" borderId="34" xfId="1" applyNumberFormat="1" applyFont="1" applyFill="1" applyBorder="1" applyAlignment="1">
      <alignment horizontal="center" vertical="center"/>
    </xf>
    <xf numFmtId="166" fontId="9" fillId="0" borderId="25" xfId="1" applyNumberFormat="1" applyFont="1" applyFill="1" applyBorder="1" applyAlignment="1">
      <alignment horizontal="center" vertical="center"/>
    </xf>
    <xf numFmtId="166" fontId="9" fillId="0" borderId="12" xfId="1" applyNumberFormat="1" applyFont="1" applyFill="1" applyBorder="1" applyAlignment="1">
      <alignment horizontal="center" vertical="center"/>
    </xf>
  </cellXfs>
  <cellStyles count="9">
    <cellStyle name="Čiarka" xfId="1" builtinId="3"/>
    <cellStyle name="Čiarka 2" xfId="8"/>
    <cellStyle name="Hypertextové prepojenie" xfId="6" builtinId="8"/>
    <cellStyle name="Neutrálna" xfId="2" builtinId="28"/>
    <cellStyle name="Normal 2" xfId="3"/>
    <cellStyle name="Normálna 11" xfId="5"/>
    <cellStyle name="Normálna 2 2" xfId="7"/>
    <cellStyle name="Normálne" xfId="0" builtinId="0"/>
    <cellStyle name="Normálne 2" xfId="4"/>
  </cellStyles>
  <dxfs count="0"/>
  <tableStyles count="0" defaultTableStyle="TableStyleMedium2" defaultPivotStyle="PivotStyleMedium9"/>
  <colors>
    <mruColors>
      <color rgb="FFF2F8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themeOverride" Target="../theme/themeOverrid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208661417322839E-2"/>
          <c:y val="8.6813002618551863E-2"/>
          <c:w val="0.79301273171588382"/>
          <c:h val="0.8622611921674383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'Celkove hodnotenie'!$D$24:$E$24</c:f>
              <c:strCache>
                <c:ptCount val="2"/>
                <c:pt idx="0">
                  <c:v>Jún</c:v>
                </c:pt>
                <c:pt idx="1">
                  <c:v>November</c:v>
                </c:pt>
              </c:strCache>
            </c:strRef>
          </c:cat>
          <c:val>
            <c:numRef>
              <c:f>'Celkove hodnotenie'!$D$27:$F$27</c:f>
              <c:numCache>
                <c:formatCode>0.0</c:formatCode>
                <c:ptCount val="3"/>
                <c:pt idx="0">
                  <c:v>-2.5465002246383737</c:v>
                </c:pt>
                <c:pt idx="1">
                  <c:v>-2.3934375761848621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9"/>
        <c:overlap val="56"/>
        <c:axId val="285656336"/>
        <c:axId val="285655160"/>
      </c:barChart>
      <c:catAx>
        <c:axId val="285656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285655160"/>
        <c:crosses val="autoZero"/>
        <c:auto val="1"/>
        <c:lblAlgn val="ctr"/>
        <c:lblOffset val="100"/>
        <c:noMultiLvlLbl val="0"/>
      </c:catAx>
      <c:valAx>
        <c:axId val="285655160"/>
        <c:scaling>
          <c:orientation val="minMax"/>
          <c:max val="-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prstDash val="sysDot"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285656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7067447645005434"/>
          <c:y val="0"/>
          <c:w val="0.4706474714588571"/>
          <c:h val="0.9971377472873961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</c:dPt>
          <c:dLbls>
            <c:dLbl>
              <c:idx val="0"/>
              <c:layout>
                <c:manualLayout>
                  <c:x val="-9.6238368039768415E-2"/>
                  <c:y val="-1.3424593388904468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23201878666052991"/>
                  <c:y val="4.248027999791046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20766957793053623"/>
                  <c:y val="-1.6780741736130585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'Celkove hodnotenie'!$H$25:$J$25</c:f>
              <c:strCache>
                <c:ptCount val="3"/>
                <c:pt idx="0">
                  <c:v>Dane + HDP</c:v>
                </c:pt>
                <c:pt idx="1">
                  <c:v>Cyklická zložka</c:v>
                </c:pt>
                <c:pt idx="2">
                  <c:v>Jednorázové opatrenia</c:v>
                </c:pt>
              </c:strCache>
            </c:strRef>
          </c:cat>
          <c:val>
            <c:numRef>
              <c:f>'Celkove hodnotenie'!$H$27:$J$27</c:f>
              <c:numCache>
                <c:formatCode>0.00</c:formatCode>
                <c:ptCount val="3"/>
                <c:pt idx="0">
                  <c:v>0.26203614363657834</c:v>
                </c:pt>
                <c:pt idx="1">
                  <c:v>-6.315000139159227E-2</c:v>
                </c:pt>
                <c:pt idx="2">
                  <c:v>-4.5823493791474379E-2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7"/>
        <c:overlap val="56"/>
        <c:axId val="285654768"/>
        <c:axId val="285653984"/>
      </c:barChart>
      <c:valAx>
        <c:axId val="285653984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285654768"/>
        <c:crosses val="autoZero"/>
        <c:crossBetween val="between"/>
      </c:valAx>
      <c:catAx>
        <c:axId val="2856547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285653984"/>
        <c:crosses val="autoZero"/>
        <c:auto val="1"/>
        <c:lblAlgn val="ctr"/>
        <c:lblOffset val="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2947589187344711E-2"/>
          <c:y val="0.1675466918497438"/>
          <c:w val="0.88778827803987326"/>
          <c:h val="0.77771866631784703"/>
        </c:manualLayout>
      </c:layout>
      <c:areaChart>
        <c:grouping val="stacked"/>
        <c:varyColors val="0"/>
        <c:ser>
          <c:idx val="0"/>
          <c:order val="2"/>
          <c:tx>
            <c:v>zelena</c:v>
          </c:tx>
          <c:spPr>
            <a:solidFill>
              <a:schemeClr val="accent1"/>
            </a:solidFill>
          </c:spPr>
          <c:val>
            <c:numRef>
              <c:f>'[74]Fiskalne ciele'!$AK$10:$AP$10</c:f>
              <c:numCache>
                <c:formatCode>General</c:formatCode>
                <c:ptCount val="6"/>
                <c:pt idx="0">
                  <c:v>-4.1990905949022448</c:v>
                </c:pt>
                <c:pt idx="1">
                  <c:v>-3.4592724759217957</c:v>
                </c:pt>
                <c:pt idx="2">
                  <c:v>-2.7194543569413465</c:v>
                </c:pt>
                <c:pt idx="3">
                  <c:v>-1.9796362379608976</c:v>
                </c:pt>
                <c:pt idx="4">
                  <c:v>-1.2398181189804487</c:v>
                </c:pt>
                <c:pt idx="5">
                  <c:v>-0.5</c:v>
                </c:pt>
              </c:numCache>
              <c:extLst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'[74]Fiskalne ciele'!$AK$8:$AP$8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2012</c:v>
                      </c:pt>
                      <c:pt idx="1">
                        <c:v>2013</c:v>
                      </c:pt>
                      <c:pt idx="2">
                        <c:v>2014</c:v>
                      </c:pt>
                      <c:pt idx="3">
                        <c:v>2015</c:v>
                      </c:pt>
                      <c:pt idx="4">
                        <c:v>2016</c:v>
                      </c:pt>
                      <c:pt idx="5">
                        <c:v>2017</c:v>
                      </c:pt>
                    </c:numCache>
                  </c:numRef>
                </c15:cat>
              </c15:filteredCategoryTitle>
            </c:ext>
          </c:extLst>
        </c:ser>
        <c:ser>
          <c:idx val="3"/>
          <c:order val="3"/>
          <c:tx>
            <c:strRef>
              <c:f>'[2]Fiskalne ciele'!$AJ$12</c:f>
              <c:strCache>
                <c:ptCount val="1"/>
                <c:pt idx="0">
                  <c:v>biela</c:v>
                </c:pt>
              </c:strCache>
            </c:strRef>
          </c:tx>
          <c:spPr>
            <a:noFill/>
          </c:spPr>
          <c:val>
            <c:numRef>
              <c:f>'[74]Fiskalne ciele'!$AK$12:$AP$12</c:f>
              <c:numCache>
                <c:formatCode>General</c:formatCode>
                <c:ptCount val="6"/>
                <c:pt idx="0">
                  <c:v>-0.5</c:v>
                </c:pt>
                <c:pt idx="1">
                  <c:v>-0.5</c:v>
                </c:pt>
                <c:pt idx="2">
                  <c:v>-0.5</c:v>
                </c:pt>
                <c:pt idx="3">
                  <c:v>-0.5</c:v>
                </c:pt>
                <c:pt idx="4">
                  <c:v>-0.5</c:v>
                </c:pt>
                <c:pt idx="5">
                  <c:v>-0.5</c:v>
                </c:pt>
              </c:numCache>
              <c:extLst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'[74]Fiskalne ciele'!$AK$8:$AP$8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2012</c:v>
                      </c:pt>
                      <c:pt idx="1">
                        <c:v>2013</c:v>
                      </c:pt>
                      <c:pt idx="2">
                        <c:v>2014</c:v>
                      </c:pt>
                      <c:pt idx="3">
                        <c:v>2015</c:v>
                      </c:pt>
                      <c:pt idx="4">
                        <c:v>2016</c:v>
                      </c:pt>
                      <c:pt idx="5">
                        <c:v>2017</c:v>
                      </c:pt>
                    </c:numCache>
                  </c:numRef>
                </c15:cat>
              </c15:filteredCategoryTitle>
            </c:ext>
          </c:extLst>
        </c:ser>
        <c:ser>
          <c:idx val="4"/>
          <c:order val="5"/>
          <c:tx>
            <c:strRef>
              <c:f>'[2]Fiskalne ciele'!$AJ$11</c:f>
              <c:strCache>
                <c:ptCount val="1"/>
                <c:pt idx="0">
                  <c:v>cervena</c:v>
                </c:pt>
              </c:strCache>
            </c:strRef>
          </c:tx>
          <c:spPr>
            <a:solidFill>
              <a:srgbClr val="F9C9BA"/>
            </a:solidFill>
          </c:spPr>
          <c:val>
            <c:numRef>
              <c:f>'[74]Fiskalne ciele'!$AK$11:$AP$11</c:f>
              <c:numCache>
                <c:formatCode>General</c:formatCode>
                <c:ptCount val="6"/>
                <c:pt idx="0">
                  <c:v>0</c:v>
                </c:pt>
                <c:pt idx="1">
                  <c:v>-0.73981811898044914</c:v>
                </c:pt>
                <c:pt idx="2">
                  <c:v>-1.4796362379608983</c:v>
                </c:pt>
                <c:pt idx="3">
                  <c:v>-2.2194543569413474</c:v>
                </c:pt>
                <c:pt idx="4">
                  <c:v>-2.9592724759217961</c:v>
                </c:pt>
                <c:pt idx="5">
                  <c:v>-3.6990905949022448</c:v>
                </c:pt>
              </c:numCache>
              <c:extLst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'[74]Fiskalne ciele'!$AK$8:$AP$8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2012</c:v>
                      </c:pt>
                      <c:pt idx="1">
                        <c:v>2013</c:v>
                      </c:pt>
                      <c:pt idx="2">
                        <c:v>2014</c:v>
                      </c:pt>
                      <c:pt idx="3">
                        <c:v>2015</c:v>
                      </c:pt>
                      <c:pt idx="4">
                        <c:v>2016</c:v>
                      </c:pt>
                      <c:pt idx="5">
                        <c:v>2017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5656728"/>
        <c:axId val="287145848"/>
      </c:areaChart>
      <c:lineChart>
        <c:grouping val="standard"/>
        <c:varyColors val="0"/>
        <c:ser>
          <c:idx val="2"/>
          <c:order val="0"/>
          <c:tx>
            <c:strRef>
              <c:f>ŠS!$B$41</c:f>
              <c:strCache>
                <c:ptCount val="1"/>
                <c:pt idx="0">
                  <c:v>Rovnomerná cesta k MTO 2017</c:v>
                </c:pt>
              </c:strCache>
            </c:strRef>
          </c:tx>
          <c:spPr>
            <a:ln>
              <a:solidFill>
                <a:schemeClr val="accent6"/>
              </a:solidFill>
              <a:prstDash val="sysDash"/>
            </a:ln>
          </c:spPr>
          <c:marker>
            <c:symbol val="diamond"/>
            <c:size val="9"/>
            <c:spPr>
              <a:solidFill>
                <a:srgbClr val="2C9ADC"/>
              </a:solidFill>
              <a:ln>
                <a:solidFill>
                  <a:schemeClr val="accent6"/>
                </a:solidFill>
                <a:prstDash val="dash"/>
              </a:ln>
            </c:spPr>
          </c:marker>
          <c:dLbls>
            <c:dLbl>
              <c:idx val="0"/>
              <c:layout>
                <c:manualLayout>
                  <c:x val="-3.5901553199904013E-2"/>
                  <c:y val="6.5690574023829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0373996516333532E-2"/>
                  <c:y val="8.93263019922871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484643983276312E-2"/>
                  <c:y val="6.56905740238298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0466871244131351E-2"/>
                  <c:y val="-0.1210703535921680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solidFill>
                <a:schemeClr val="accent6"/>
              </a:solidFill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ŠS!$C$41:$H$41</c:f>
              <c:numCache>
                <c:formatCode>0.00</c:formatCode>
                <c:ptCount val="6"/>
                <c:pt idx="0">
                  <c:v>-4.3425265175670127</c:v>
                </c:pt>
                <c:pt idx="1">
                  <c:v>-3.5740212140536101</c:v>
                </c:pt>
                <c:pt idx="2">
                  <c:v>-2.8055159105402074</c:v>
                </c:pt>
                <c:pt idx="3">
                  <c:v>-2.0370106070268048</c:v>
                </c:pt>
                <c:pt idx="4">
                  <c:v>-1.2685053035134022</c:v>
                </c:pt>
                <c:pt idx="5">
                  <c:v>-0.5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'[74]Fiskalne ciele'!$J$9:$O$9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2012</c:v>
                      </c:pt>
                      <c:pt idx="1">
                        <c:v>2013</c:v>
                      </c:pt>
                      <c:pt idx="2">
                        <c:v>2014</c:v>
                      </c:pt>
                      <c:pt idx="3">
                        <c:v>2015</c:v>
                      </c:pt>
                      <c:pt idx="4">
                        <c:v>2016</c:v>
                      </c:pt>
                      <c:pt idx="5">
                        <c:v>2017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tx>
            <c:strRef>
              <c:f>'[2]Fiskalne ciele'!$I$13</c:f>
              <c:strCache>
                <c:ptCount val="1"/>
                <c:pt idx="0">
                  <c:v>Štrukturálne saldo</c:v>
                </c:pt>
              </c:strCache>
            </c:strRef>
          </c:tx>
          <c:spPr>
            <a:ln w="31750">
              <a:solidFill>
                <a:schemeClr val="tx1"/>
              </a:solidFill>
              <a:prstDash val="sysDash"/>
            </a:ln>
          </c:spPr>
          <c:marker>
            <c:spPr>
              <a:solidFill>
                <a:schemeClr val="bg1"/>
              </a:solidFill>
              <a:ln w="19050">
                <a:solidFill>
                  <a:schemeClr val="tx1"/>
                </a:solidFill>
                <a:prstDash val="sysDash"/>
              </a:ln>
            </c:spPr>
          </c:marker>
          <c:dPt>
            <c:idx val="1"/>
            <c:marker>
              <c:spPr>
                <a:solidFill>
                  <a:schemeClr val="bg1"/>
                </a:solidFill>
                <a:ln w="19050">
                  <a:solidFill>
                    <a:schemeClr val="tx1"/>
                  </a:solidFill>
                  <a:prstDash val="solid"/>
                </a:ln>
              </c:spPr>
            </c:marker>
            <c:bubble3D val="0"/>
            <c:spPr>
              <a:ln w="31750">
                <a:solidFill>
                  <a:schemeClr val="tx1"/>
                </a:solidFill>
                <a:prstDash val="solid"/>
              </a:ln>
            </c:spPr>
          </c:dPt>
          <c:dPt>
            <c:idx val="2"/>
            <c:marker>
              <c:spPr>
                <a:solidFill>
                  <a:schemeClr val="bg1"/>
                </a:solidFill>
                <a:ln w="19050">
                  <a:solidFill>
                    <a:schemeClr val="tx1"/>
                  </a:solidFill>
                  <a:prstDash val="solid"/>
                </a:ln>
              </c:spPr>
            </c:marker>
            <c:bubble3D val="0"/>
            <c:spPr>
              <a:ln w="31750">
                <a:solidFill>
                  <a:schemeClr val="tx1"/>
                </a:solidFill>
                <a:prstDash val="solid"/>
              </a:ln>
            </c:spPr>
          </c:dPt>
          <c:dPt>
            <c:idx val="3"/>
            <c:marker>
              <c:spPr>
                <a:solidFill>
                  <a:schemeClr val="bg1"/>
                </a:solidFill>
                <a:ln w="19050">
                  <a:solidFill>
                    <a:schemeClr val="tx1"/>
                  </a:solidFill>
                  <a:prstDash val="solid"/>
                </a:ln>
              </c:spPr>
            </c:marker>
            <c:bubble3D val="0"/>
            <c:spPr>
              <a:ln w="31750">
                <a:solidFill>
                  <a:schemeClr val="tx1"/>
                </a:solidFill>
                <a:prstDash val="solid"/>
              </a:ln>
            </c:spPr>
          </c:dPt>
          <c:dPt>
            <c:idx val="4"/>
            <c:marker>
              <c:spPr>
                <a:solidFill>
                  <a:schemeClr val="bg1"/>
                </a:solidFill>
                <a:ln w="19050">
                  <a:solidFill>
                    <a:schemeClr val="tx1"/>
                  </a:solidFill>
                  <a:prstDash val="solid"/>
                </a:ln>
              </c:spPr>
            </c:marker>
            <c:bubble3D val="0"/>
            <c:spPr>
              <a:ln w="31750">
                <a:solidFill>
                  <a:schemeClr val="tx1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3.5007858995946183E-2"/>
                  <c:y val="-0.1384378352438215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053541567951658E-2"/>
                  <c:y val="-7.09071839053720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13228212068992E-2"/>
                  <c:y val="-7.428371647229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7.2145993592677982E-2"/>
                  <c:y val="7.74508132419714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2110226734281792E-2"/>
                  <c:y val="5.74010536376821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7637783417852373E-2"/>
                  <c:y val="5.40245210707596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ŠS!$C$7:$F$7</c:f>
              <c:numCache>
                <c:formatCode>0.0</c:formatCode>
                <c:ptCount val="4"/>
                <c:pt idx="0">
                  <c:v>-4.3425265175670127</c:v>
                </c:pt>
                <c:pt idx="1">
                  <c:v>-2.6272791880372712</c:v>
                </c:pt>
                <c:pt idx="2">
                  <c:v>-2.5100034406878762</c:v>
                </c:pt>
                <c:pt idx="3">
                  <c:v>-2.3934375761848621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'[74]Fiskalne ciele'!$J$9:$O$9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2012</c:v>
                      </c:pt>
                      <c:pt idx="1">
                        <c:v>2013</c:v>
                      </c:pt>
                      <c:pt idx="2">
                        <c:v>2014</c:v>
                      </c:pt>
                      <c:pt idx="3">
                        <c:v>2015</c:v>
                      </c:pt>
                      <c:pt idx="4">
                        <c:v>2016</c:v>
                      </c:pt>
                      <c:pt idx="5">
                        <c:v>2017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5656728"/>
        <c:axId val="287145848"/>
        <c:extLst>
          <c:ext xmlns:c15="http://schemas.microsoft.com/office/drawing/2012/chart" uri="{02D57815-91ED-43cb-92C2-25804820EDAC}">
            <c15:filteredLineSeries>
              <c15:ser>
                <c:idx val="5"/>
                <c:order val="4"/>
                <c:tx>
                  <c:strRef>
                    <c:extLst>
                      <c:ext uri="{02D57815-91ED-43cb-92C2-25804820EDAC}">
                        <c15:formulaRef>
                          <c15:sqref>'[2]Fiskalne ciele'!$I$21</c15:sqref>
                        </c15:formulaRef>
                      </c:ext>
                    </c:extLst>
                    <c:strCache>
                      <c:ptCount val="1"/>
                      <c:pt idx="0">
                        <c:v>Odhad rovnomernej cesty k MTO 2019</c:v>
                      </c:pt>
                    </c:strCache>
                  </c:strRef>
                </c:tx>
                <c:spPr>
                  <a:ln>
                    <a:solidFill>
                      <a:srgbClr val="FF0000"/>
                    </a:solidFill>
                  </a:ln>
                </c:spPr>
                <c:marker>
                  <c:spPr>
                    <a:solidFill>
                      <a:srgbClr val="FF0000"/>
                    </a:solidFill>
                    <a:ln>
                      <a:solidFill>
                        <a:srgbClr val="FF0000"/>
                      </a:solidFill>
                    </a:ln>
                  </c:spPr>
                </c:marker>
                <c:dPt>
                  <c:idx val="0"/>
                  <c:marker>
                    <c:spPr>
                      <a:noFill/>
                      <a:ln>
                        <a:noFill/>
                      </a:ln>
                    </c:spPr>
                  </c:marker>
                  <c:bubble3D val="0"/>
                  <c:spPr>
                    <a:ln>
                      <a:noFill/>
                    </a:ln>
                  </c:spPr>
                </c:dPt>
                <c:dPt>
                  <c:idx val="1"/>
                  <c:marker>
                    <c:spPr>
                      <a:noFill/>
                      <a:ln>
                        <a:noFill/>
                      </a:ln>
                    </c:spPr>
                  </c:marker>
                  <c:bubble3D val="0"/>
                  <c:spPr>
                    <a:ln>
                      <a:noFill/>
                    </a:ln>
                  </c:spPr>
                </c:dPt>
                <c:dPt>
                  <c:idx val="2"/>
                  <c:marker>
                    <c:spPr>
                      <a:noFill/>
                      <a:ln>
                        <a:noFill/>
                      </a:ln>
                    </c:spPr>
                  </c:marker>
                  <c:bubble3D val="0"/>
                  <c:spPr>
                    <a:ln>
                      <a:noFill/>
                    </a:ln>
                  </c:spPr>
                </c:dPt>
                <c:dPt>
                  <c:idx val="3"/>
                  <c:marker>
                    <c:spPr>
                      <a:solidFill>
                        <a:srgbClr val="FF0000"/>
                      </a:solidFill>
                      <a:ln>
                        <a:noFill/>
                      </a:ln>
                    </c:spPr>
                  </c:marker>
                  <c:bubble3D val="0"/>
                  <c:spPr>
                    <a:ln>
                      <a:noFill/>
                    </a:ln>
                  </c:spPr>
                </c:dPt>
                <c:dPt>
                  <c:idx val="4"/>
                  <c:marker>
                    <c:spPr>
                      <a:solidFill>
                        <a:srgbClr val="FF0000"/>
                      </a:solidFill>
                      <a:ln>
                        <a:solidFill>
                          <a:srgbClr val="FF0000"/>
                        </a:solidFill>
                        <a:prstDash val="sysDot"/>
                      </a:ln>
                    </c:spPr>
                  </c:marker>
                  <c:bubble3D val="0"/>
                  <c:spPr>
                    <a:ln>
                      <a:solidFill>
                        <a:srgbClr val="FF0000"/>
                      </a:solidFill>
                      <a:prstDash val="sysDot"/>
                    </a:ln>
                  </c:spPr>
                </c:dPt>
                <c:dPt>
                  <c:idx val="5"/>
                  <c:marker>
                    <c:spPr>
                      <a:solidFill>
                        <a:srgbClr val="FF0000"/>
                      </a:solidFill>
                      <a:ln>
                        <a:solidFill>
                          <a:srgbClr val="FF0000"/>
                        </a:solidFill>
                        <a:prstDash val="sysDot"/>
                      </a:ln>
                    </c:spPr>
                  </c:marker>
                  <c:bubble3D val="0"/>
                  <c:spPr>
                    <a:ln>
                      <a:solidFill>
                        <a:srgbClr val="FF0000"/>
                      </a:solidFill>
                      <a:prstDash val="sysDot"/>
                    </a:ln>
                  </c:spPr>
                </c:dPt>
                <c:dLbls>
                  <c:dLbl>
                    <c:idx val="4"/>
                    <c:layout>
                      <c:manualLayout>
                        <c:x val="-2.3648064660388032E-2"/>
                        <c:y val="6.023917005918248E-2"/>
                      </c:manualLayout>
                    </c:layout>
                    <c:spPr>
                      <a:noFill/>
                      <a:ln>
                        <a:solidFill>
                          <a:srgbClr val="FF0000"/>
                        </a:solidFill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/>
                        </a:pPr>
                        <a:endParaRPr lang="sk-SK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:dLbl>
                  <c:dLbl>
                    <c:idx val="5"/>
                    <c:layout>
                      <c:manualLayout>
                        <c:x val="1.1824032330194016E-2"/>
                        <c:y val="-1.0039861676530414E-2"/>
                      </c:manualLayout>
                    </c:layout>
                    <c:spPr>
                      <a:noFill/>
                      <a:ln>
                        <a:solidFill>
                          <a:srgbClr val="FF0000"/>
                        </a:solidFill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/>
                        </a:pPr>
                        <a:endParaRPr lang="sk-SK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  <c15:leaderLines>
                        <c:spPr>
                          <a:ln>
                            <a:solidFill>
                              <a:srgbClr val="FF0000"/>
                            </a:solidFill>
                          </a:ln>
                        </c:spPr>
                      </c15:leaderLines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'[74]Fiskalne ciele'!$J$21:$O$21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-2.5494654966414712</c:v>
                      </c:pt>
                      <c:pt idx="4">
                        <c:v>-2.0370991224811035</c:v>
                      </c:pt>
                      <c:pt idx="5">
                        <c:v>-1.5247327483207358</c:v>
                      </c:pt>
                    </c:numCache>
                  </c:numRef>
                </c:val>
                <c:smooth val="0"/>
                <c:extLst>
                  <c:ext uri="{02D57815-91ED-43cb-92C2-25804820EDAC}">
                    <c15:filteredCategoryTitle>
                      <c15:cat>
                        <c:numRef>
                          <c:extLst>
                            <c:ext uri="{02D57815-91ED-43cb-92C2-25804820EDAC}">
                              <c15:formulaRef>
                                <c15:sqref>'[74]Fiskalne ciele'!$J$9:$O$9</c15:sqref>
                              </c15:formulaRef>
                            </c:ext>
                          </c:extLst>
                          <c:numCache>
                            <c:formatCode>General</c:formatCode>
                            <c:ptCount val="6"/>
                            <c:pt idx="0">
                              <c:v>2012</c:v>
                            </c:pt>
                            <c:pt idx="1">
                              <c:v>2013</c:v>
                            </c:pt>
                            <c:pt idx="2">
                              <c:v>2014</c:v>
                            </c:pt>
                            <c:pt idx="3">
                              <c:v>2015</c:v>
                            </c:pt>
                            <c:pt idx="4">
                              <c:v>2016</c:v>
                            </c:pt>
                            <c:pt idx="5">
                              <c:v>2017</c:v>
                            </c:pt>
                          </c:numCache>
                        </c:numRef>
                      </c15:cat>
                    </c15:filteredCategoryTitle>
                  </c:ext>
                </c:extLst>
              </c15:ser>
            </c15:filteredLineSeries>
          </c:ext>
        </c:extLst>
      </c:lineChart>
      <c:catAx>
        <c:axId val="2856567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high"/>
        <c:spPr>
          <a:ln>
            <a:solidFill>
              <a:sysClr val="windowText" lastClr="000000"/>
            </a:solidFill>
          </a:ln>
        </c:spPr>
        <c:crossAx val="287145848"/>
        <c:crosses val="autoZero"/>
        <c:auto val="1"/>
        <c:lblAlgn val="ctr"/>
        <c:lblOffset val="100"/>
        <c:noMultiLvlLbl val="0"/>
      </c:catAx>
      <c:valAx>
        <c:axId val="287145848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285656728"/>
        <c:crosses val="autoZero"/>
        <c:crossBetween val="between"/>
      </c:valAx>
      <c:spPr>
        <a:ln>
          <a:noFill/>
        </a:ln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9.3292318530967894E-2"/>
          <c:y val="0.91692674287799092"/>
          <c:w val="0.69742528570452167"/>
          <c:h val="7.2250387644036365E-2"/>
        </c:manualLayout>
      </c:layout>
      <c:overlay val="0"/>
      <c:txPr>
        <a:bodyPr/>
        <a:lstStyle/>
        <a:p>
          <a:pPr>
            <a:defRPr sz="800"/>
          </a:pPr>
          <a:endParaRPr lang="sk-SK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  <c:userShapes r:id="rId2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851366841176945E-2"/>
          <c:y val="2.8673830501214685E-2"/>
          <c:w val="0.9050048423091499"/>
          <c:h val="0.845511656983535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ŠS!$B$10</c:f>
              <c:strCache>
                <c:ptCount val="1"/>
                <c:pt idx="0">
                  <c:v>Odchýlka MTO 2017 (kumulatívna)</c:v>
                </c:pt>
              </c:strCache>
            </c:strRef>
          </c:tx>
          <c:spPr>
            <a:solidFill>
              <a:srgbClr val="B0D6AF"/>
            </a:solidFill>
          </c:spPr>
          <c:invertIfNegative val="1"/>
          <c:dPt>
            <c:idx val="0"/>
            <c:invertIfNegative val="1"/>
            <c:bubble3D val="0"/>
            <c:spPr>
              <a:solidFill>
                <a:srgbClr val="B0D6AF"/>
              </a:solidFill>
            </c:spPr>
          </c:dPt>
          <c:dPt>
            <c:idx val="1"/>
            <c:invertIfNegative val="1"/>
            <c:bubble3D val="0"/>
          </c:dPt>
          <c:dPt>
            <c:idx val="2"/>
            <c:invertIfNegative val="1"/>
            <c:bubble3D val="0"/>
          </c:dPt>
          <c:dLbls>
            <c:numFmt formatCode="#,##0.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ŠS!$D$3:$F$3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ŠS!$D$10:$F$10</c:f>
              <c:numCache>
                <c:formatCode>0.00</c:formatCode>
                <c:ptCount val="3"/>
                <c:pt idx="0">
                  <c:v>0.94674202601633883</c:v>
                </c:pt>
                <c:pt idx="1">
                  <c:v>0.29551246985233126</c:v>
                </c:pt>
                <c:pt idx="2">
                  <c:v>-0.35642696915805727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C000"/>
                  </a:solidFill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87147808"/>
        <c:axId val="243698496"/>
      </c:barChart>
      <c:catAx>
        <c:axId val="2871478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noFill/>
          <a:ln w="6350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sk-SK"/>
          </a:p>
        </c:txPr>
        <c:crossAx val="243698496"/>
        <c:crosses val="autoZero"/>
        <c:auto val="1"/>
        <c:lblAlgn val="ctr"/>
        <c:lblOffset val="100"/>
        <c:noMultiLvlLbl val="0"/>
      </c:catAx>
      <c:valAx>
        <c:axId val="243698496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sk-SK"/>
          </a:p>
        </c:txPr>
        <c:crossAx val="287147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6389895707481"/>
          <c:y val="5.146198830409357E-2"/>
          <c:w val="0.85756030496187974"/>
          <c:h val="0.8689074918266795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'Cyklická zložka'!$B$5</c:f>
              <c:strCache>
                <c:ptCount val="1"/>
                <c:pt idx="0">
                  <c:v>Priame dane domácností</c:v>
                </c:pt>
              </c:strCache>
            </c:strRef>
          </c:tx>
          <c:spPr>
            <a:solidFill>
              <a:srgbClr val="AAD3F2"/>
            </a:solidFill>
          </c:spPr>
          <c:invertIfNegative val="0"/>
          <c:cat>
            <c:numRef>
              <c:f>'Cyklická zložka'!$D$3:$F$3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'Cyklická zložka'!$D$5:$F$5</c:f>
              <c:numCache>
                <c:formatCode>0.0</c:formatCode>
                <c:ptCount val="3"/>
                <c:pt idx="0">
                  <c:v>-3.2257660618633041E-2</c:v>
                </c:pt>
                <c:pt idx="1">
                  <c:v>-3.6897200865097207E-2</c:v>
                </c:pt>
                <c:pt idx="2">
                  <c:v>-1.6910869665708407E-2</c:v>
                </c:pt>
              </c:numCache>
            </c:numRef>
          </c:val>
        </c:ser>
        <c:ser>
          <c:idx val="1"/>
          <c:order val="1"/>
          <c:tx>
            <c:strRef>
              <c:f>'Cyklická zložka'!$B$6</c:f>
              <c:strCache>
                <c:ptCount val="1"/>
                <c:pt idx="0">
                  <c:v>Odvody</c:v>
                </c:pt>
              </c:strCache>
            </c:strRef>
          </c:tx>
          <c:spPr>
            <a:solidFill>
              <a:srgbClr val="F9C9BA"/>
            </a:solidFill>
          </c:spPr>
          <c:invertIfNegative val="0"/>
          <c:cat>
            <c:numRef>
              <c:f>'Cyklická zložka'!$D$3:$F$3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'Cyklická zložka'!$D$6:$F$6</c:f>
              <c:numCache>
                <c:formatCode>0.0</c:formatCode>
                <c:ptCount val="3"/>
                <c:pt idx="0">
                  <c:v>-0.14440427209362006</c:v>
                </c:pt>
                <c:pt idx="1">
                  <c:v>-0.16098358892362724</c:v>
                </c:pt>
                <c:pt idx="2">
                  <c:v>-6.9362675366754847E-2</c:v>
                </c:pt>
              </c:numCache>
            </c:numRef>
          </c:val>
        </c:ser>
        <c:ser>
          <c:idx val="2"/>
          <c:order val="2"/>
          <c:tx>
            <c:strRef>
              <c:f>'Cyklická zložka'!$B$7</c:f>
              <c:strCache>
                <c:ptCount val="1"/>
                <c:pt idx="0">
                  <c:v>DPPO</c:v>
                </c:pt>
              </c:strCache>
            </c:strRef>
          </c:tx>
          <c:spPr>
            <a:solidFill>
              <a:srgbClr val="D9D3AB"/>
            </a:solidFill>
          </c:spPr>
          <c:invertIfNegative val="0"/>
          <c:cat>
            <c:numRef>
              <c:f>'Cyklická zložka'!$D$3:$F$3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'Cyklická zložka'!$D$7:$F$7</c:f>
              <c:numCache>
                <c:formatCode>0.0</c:formatCode>
                <c:ptCount val="3"/>
                <c:pt idx="0">
                  <c:v>-5.434587857610676E-2</c:v>
                </c:pt>
                <c:pt idx="1">
                  <c:v>-4.4268998477466889E-2</c:v>
                </c:pt>
                <c:pt idx="2">
                  <c:v>-2.2425889497380828E-2</c:v>
                </c:pt>
              </c:numCache>
            </c:numRef>
          </c:val>
        </c:ser>
        <c:ser>
          <c:idx val="4"/>
          <c:order val="3"/>
          <c:tx>
            <c:strRef>
              <c:f>'Cyklická zložka'!$B$8</c:f>
              <c:strCache>
                <c:ptCount val="1"/>
                <c:pt idx="0">
                  <c:v>Nepriame dane</c:v>
                </c:pt>
              </c:strCache>
            </c:strRef>
          </c:tx>
          <c:spPr>
            <a:solidFill>
              <a:srgbClr val="B0D6AF"/>
            </a:solidFill>
          </c:spPr>
          <c:invertIfNegative val="0"/>
          <c:cat>
            <c:numRef>
              <c:f>'Cyklická zložka'!$D$3:$F$3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'Cyklická zložka'!$D$8:$F$8</c:f>
              <c:numCache>
                <c:formatCode>0.0</c:formatCode>
                <c:ptCount val="3"/>
                <c:pt idx="0">
                  <c:v>-0.18287793454293708</c:v>
                </c:pt>
                <c:pt idx="1">
                  <c:v>-0.14339505330795257</c:v>
                </c:pt>
                <c:pt idx="2">
                  <c:v>-6.6905435980394334E-2</c:v>
                </c:pt>
              </c:numCache>
            </c:numRef>
          </c:val>
        </c:ser>
        <c:ser>
          <c:idx val="5"/>
          <c:order val="4"/>
          <c:tx>
            <c:strRef>
              <c:f>'Cyklická zložka'!$B$9</c:f>
              <c:strCache>
                <c:ptCount val="1"/>
                <c:pt idx="0">
                  <c:v>Dôchodky</c:v>
                </c:pt>
              </c:strCache>
            </c:strRef>
          </c:tx>
          <c:spPr>
            <a:solidFill>
              <a:srgbClr val="818386"/>
            </a:solidFill>
          </c:spPr>
          <c:invertIfNegative val="0"/>
          <c:cat>
            <c:numRef>
              <c:f>'Cyklická zložka'!$D$3:$F$3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'Cyklická zložka'!$D$9:$F$9</c:f>
              <c:numCache>
                <c:formatCode>0.0</c:formatCode>
                <c:ptCount val="3"/>
                <c:pt idx="0">
                  <c:v>-1.9532049222180221E-2</c:v>
                </c:pt>
                <c:pt idx="1">
                  <c:v>3.4118386354482548E-2</c:v>
                </c:pt>
                <c:pt idx="2">
                  <c:v>5.8998185214102411E-2</c:v>
                </c:pt>
              </c:numCache>
            </c:numRef>
          </c:val>
        </c:ser>
        <c:ser>
          <c:idx val="6"/>
          <c:order val="5"/>
          <c:tx>
            <c:strRef>
              <c:f>'Cyklická zložka'!$B$10</c:f>
              <c:strCache>
                <c:ptCount val="1"/>
                <c:pt idx="0">
                  <c:v>Dávky v nezamestnanosti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cat>
            <c:numRef>
              <c:f>'Cyklická zložka'!$D$3:$F$3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'Cyklická zložka'!$D$10:$F$10</c:f>
              <c:numCache>
                <c:formatCode>0.0</c:formatCode>
                <c:ptCount val="3"/>
                <c:pt idx="0">
                  <c:v>-2.4620845600818959E-2</c:v>
                </c:pt>
                <c:pt idx="1">
                  <c:v>-2.0705936481706579E-2</c:v>
                </c:pt>
                <c:pt idx="2">
                  <c:v>-1.2584811764454111E-2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41258600"/>
        <c:axId val="291446336"/>
      </c:barChart>
      <c:lineChart>
        <c:grouping val="standard"/>
        <c:varyColors val="0"/>
        <c:ser>
          <c:idx val="7"/>
          <c:order val="6"/>
          <c:tx>
            <c:strRef>
              <c:f>'Cyklická zložka'!$B$11</c:f>
              <c:strCache>
                <c:ptCount val="1"/>
                <c:pt idx="0">
                  <c:v>Spolu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'[3]2016jun_chart'!$A$8:$A$10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'Cyklická zložka'!$D$11:$F$11</c:f>
              <c:numCache>
                <c:formatCode>0.00</c:formatCode>
                <c:ptCount val="3"/>
                <c:pt idx="0">
                  <c:v>-0.45803864065429611</c:v>
                </c:pt>
                <c:pt idx="1">
                  <c:v>-0.37213239170136797</c:v>
                </c:pt>
                <c:pt idx="2">
                  <c:v>-0.12919149706059013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258600"/>
        <c:axId val="291446336"/>
      </c:lineChart>
      <c:catAx>
        <c:axId val="241258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291446336"/>
        <c:crosses val="autoZero"/>
        <c:auto val="1"/>
        <c:lblAlgn val="ctr"/>
        <c:lblOffset val="100"/>
        <c:noMultiLvlLbl val="0"/>
      </c:catAx>
      <c:valAx>
        <c:axId val="291446336"/>
        <c:scaling>
          <c:orientation val="minMax"/>
          <c:min val="-0.9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ot"/>
            </a:ln>
          </c:spPr>
        </c:majorGridlines>
        <c:numFmt formatCode="0.0" sourceLinked="1"/>
        <c:majorTickMark val="out"/>
        <c:minorTickMark val="none"/>
        <c:tickLblPos val="nextTo"/>
        <c:crossAx val="2412586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2025527630963938"/>
          <c:y val="0.69699022535976107"/>
          <c:w val="0.8699784694881888"/>
          <c:h val="0.215895450568678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488407699037617E-2"/>
          <c:y val="5.1400554097404488E-2"/>
          <c:w val="0.89747000022994639"/>
          <c:h val="0.65417726636227003"/>
        </c:manualLayout>
      </c:layout>
      <c:lineChart>
        <c:grouping val="standard"/>
        <c:varyColors val="0"/>
        <c:ser>
          <c:idx val="0"/>
          <c:order val="0"/>
          <c:tx>
            <c:strRef>
              <c:f>'Cyklická zložka'!$B$36</c:f>
              <c:strCache>
                <c:ptCount val="1"/>
                <c:pt idx="0">
                  <c:v>Kompenzácie v súkromnom sektore</c:v>
                </c:pt>
              </c:strCache>
            </c:strRef>
          </c:tx>
          <c:marker>
            <c:symbol val="none"/>
          </c:marker>
          <c:cat>
            <c:strRef>
              <c:f>'Cyklická zložka'!$C$35:$V$35</c:f>
              <c:strCach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strCache>
            </c:strRef>
          </c:cat>
          <c:val>
            <c:numRef>
              <c:f>'Cyklická zložka'!$C$36:$V$36</c:f>
              <c:numCache>
                <c:formatCode>0.00</c:formatCode>
                <c:ptCount val="20"/>
                <c:pt idx="0">
                  <c:v>-1.4954538195610212E-2</c:v>
                </c:pt>
                <c:pt idx="1">
                  <c:v>-2.1879342604069763E-2</c:v>
                </c:pt>
                <c:pt idx="2">
                  <c:v>-1.6277277580420524E-2</c:v>
                </c:pt>
                <c:pt idx="3">
                  <c:v>-1.7462516452349419E-2</c:v>
                </c:pt>
                <c:pt idx="4">
                  <c:v>-8.8630394947104563E-3</c:v>
                </c:pt>
                <c:pt idx="5">
                  <c:v>5.0746208052494524E-3</c:v>
                </c:pt>
                <c:pt idx="6">
                  <c:v>2.6091464499979899E-2</c:v>
                </c:pt>
                <c:pt idx="7">
                  <c:v>6.7565675682080162E-2</c:v>
                </c:pt>
                <c:pt idx="8">
                  <c:v>3.5498572696989861E-2</c:v>
                </c:pt>
                <c:pt idx="9">
                  <c:v>-1.1999069699180076E-2</c:v>
                </c:pt>
                <c:pt idx="10">
                  <c:v>6.7930815525301114E-3</c:v>
                </c:pt>
                <c:pt idx="11">
                  <c:v>6.869853040549323E-3</c:v>
                </c:pt>
                <c:pt idx="12">
                  <c:v>4.5518138862998825E-3</c:v>
                </c:pt>
                <c:pt idx="13">
                  <c:v>-7.6887741023305978E-3</c:v>
                </c:pt>
                <c:pt idx="14">
                  <c:v>-1.3402860502810476E-2</c:v>
                </c:pt>
                <c:pt idx="15">
                  <c:v>-1.1863221043709401E-2</c:v>
                </c:pt>
                <c:pt idx="16">
                  <c:v>-2.269311755163006E-2</c:v>
                </c:pt>
                <c:pt idx="17">
                  <c:v>-1.5107946435140462E-2</c:v>
                </c:pt>
                <c:pt idx="18">
                  <c:v>-2.7556521728699934E-3</c:v>
                </c:pt>
                <c:pt idx="19">
                  <c:v>1.5202273672580091E-2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'Cyklická zložka'!$B$37</c:f>
              <c:strCache>
                <c:ptCount val="1"/>
                <c:pt idx="0">
                  <c:v>Spotreba domácností v s.c.</c:v>
                </c:pt>
              </c:strCache>
            </c:strRef>
          </c:tx>
          <c:marker>
            <c:symbol val="none"/>
          </c:marker>
          <c:cat>
            <c:strRef>
              <c:f>'Cyklická zložka'!$C$35:$V$35</c:f>
              <c:strCach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strCache>
            </c:strRef>
          </c:cat>
          <c:val>
            <c:numRef>
              <c:f>'Cyklická zložka'!$C$37:$V$37</c:f>
              <c:numCache>
                <c:formatCode>0.00</c:formatCode>
                <c:ptCount val="20"/>
                <c:pt idx="0">
                  <c:v>-1.42068112858297E-2</c:v>
                </c:pt>
                <c:pt idx="1">
                  <c:v>1.7887934832998553E-3</c:v>
                </c:pt>
                <c:pt idx="2">
                  <c:v>7.9613173504995416E-3</c:v>
                </c:pt>
                <c:pt idx="3">
                  <c:v>-1.4163106087799804E-2</c:v>
                </c:pt>
                <c:pt idx="4">
                  <c:v>-1.9808468755199371E-2</c:v>
                </c:pt>
                <c:pt idx="5">
                  <c:v>-1.4642637337599851E-2</c:v>
                </c:pt>
                <c:pt idx="6">
                  <c:v>-7.6087752955000809E-3</c:v>
                </c:pt>
                <c:pt idx="7">
                  <c:v>2.1213142235101401E-2</c:v>
                </c:pt>
                <c:pt idx="8">
                  <c:v>4.4409151485499621E-2</c:v>
                </c:pt>
                <c:pt idx="9">
                  <c:v>1.6059226308799524E-2</c:v>
                </c:pt>
                <c:pt idx="10">
                  <c:v>8.0931485125006475E-3</c:v>
                </c:pt>
                <c:pt idx="11">
                  <c:v>-2.8146209139006118E-3</c:v>
                </c:pt>
                <c:pt idx="12">
                  <c:v>-9.4719803811997849E-3</c:v>
                </c:pt>
                <c:pt idx="13">
                  <c:v>-2.1406434089298543E-2</c:v>
                </c:pt>
                <c:pt idx="14">
                  <c:v>-1.6344515821300476E-2</c:v>
                </c:pt>
                <c:pt idx="15">
                  <c:v>-7.6077029424007599E-3</c:v>
                </c:pt>
                <c:pt idx="16">
                  <c:v>9.5476116159964874E-4</c:v>
                </c:pt>
                <c:pt idx="17">
                  <c:v>1.7539244963007405E-3</c:v>
                </c:pt>
                <c:pt idx="18">
                  <c:v>4.298722896301399E-3</c:v>
                </c:pt>
                <c:pt idx="19">
                  <c:v>8.0013142312989061E-3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'Cyklická zložka'!$B$40</c:f>
              <c:strCache>
                <c:ptCount val="1"/>
                <c:pt idx="0">
                  <c:v>Produkčná medzera</c:v>
                </c:pt>
              </c:strCache>
            </c:strRef>
          </c:tx>
          <c:marker>
            <c:symbol val="none"/>
          </c:marker>
          <c:cat>
            <c:strRef>
              <c:f>'Cyklická zložka'!$C$35:$V$35</c:f>
              <c:strCach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strCache>
            </c:strRef>
          </c:cat>
          <c:val>
            <c:numRef>
              <c:f>'Cyklická zložka'!$C$40:$V$40</c:f>
              <c:numCache>
                <c:formatCode>0.00</c:formatCode>
                <c:ptCount val="20"/>
                <c:pt idx="0">
                  <c:v>-1.7044968557226502E-2</c:v>
                </c:pt>
                <c:pt idx="1">
                  <c:v>-1.46801540533617E-2</c:v>
                </c:pt>
                <c:pt idx="2">
                  <c:v>-9.3797555318269193E-3</c:v>
                </c:pt>
                <c:pt idx="3">
                  <c:v>-6.6399180718630501E-3</c:v>
                </c:pt>
                <c:pt idx="4">
                  <c:v>-1.1157642639722101E-2</c:v>
                </c:pt>
                <c:pt idx="5">
                  <c:v>-1.7795407385142001E-2</c:v>
                </c:pt>
                <c:pt idx="6">
                  <c:v>-1.0306257710426502E-2</c:v>
                </c:pt>
                <c:pt idx="7">
                  <c:v>1.48068627275036E-2</c:v>
                </c:pt>
                <c:pt idx="8">
                  <c:v>2.6675892115425801E-2</c:v>
                </c:pt>
                <c:pt idx="9">
                  <c:v>-4.0914285573130302E-2</c:v>
                </c:pt>
                <c:pt idx="10">
                  <c:v>-8.9198060088492397E-3</c:v>
                </c:pt>
                <c:pt idx="11">
                  <c:v>-1.0286734354662199E-2</c:v>
                </c:pt>
                <c:pt idx="12">
                  <c:v>-1.09275429240353E-2</c:v>
                </c:pt>
                <c:pt idx="13">
                  <c:v>-1.9307726393800198E-2</c:v>
                </c:pt>
                <c:pt idx="14">
                  <c:v>-1.35047473520131E-2</c:v>
                </c:pt>
                <c:pt idx="15">
                  <c:v>-7.8665962538484596E-3</c:v>
                </c:pt>
                <c:pt idx="16">
                  <c:v>-3.4554704520820801E-3</c:v>
                </c:pt>
                <c:pt idx="17">
                  <c:v>2.7985881608725499E-3</c:v>
                </c:pt>
                <c:pt idx="18">
                  <c:v>6.1482220486228896E-3</c:v>
                </c:pt>
                <c:pt idx="19">
                  <c:v>1.2826668652167601E-2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'Cyklická zložka'!$B$38</c:f>
              <c:strCache>
                <c:ptCount val="1"/>
                <c:pt idx="0">
                  <c:v>Hrubý zmiešaný dôchodok</c:v>
                </c:pt>
              </c:strCache>
            </c:strRef>
          </c:tx>
          <c:spPr>
            <a:ln>
              <a:solidFill>
                <a:srgbClr val="F9C9BA"/>
              </a:solidFill>
            </a:ln>
          </c:spPr>
          <c:marker>
            <c:symbol val="none"/>
          </c:marker>
          <c:cat>
            <c:strRef>
              <c:f>'Cyklická zložka'!$C$35:$V$35</c:f>
              <c:strCach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strCache>
            </c:strRef>
          </c:cat>
          <c:val>
            <c:numRef>
              <c:f>'Cyklická zložka'!$C$38:$V$38</c:f>
              <c:numCache>
                <c:formatCode>0.00</c:formatCode>
                <c:ptCount val="20"/>
                <c:pt idx="0">
                  <c:v>-3.0702187897595934E-2</c:v>
                </c:pt>
                <c:pt idx="1">
                  <c:v>-1.5617150911381827E-2</c:v>
                </c:pt>
                <c:pt idx="2">
                  <c:v>-6.7387352830987624E-3</c:v>
                </c:pt>
                <c:pt idx="3">
                  <c:v>-6.7865512124924976E-3</c:v>
                </c:pt>
                <c:pt idx="4">
                  <c:v>-8.0454776654264037E-3</c:v>
                </c:pt>
                <c:pt idx="5">
                  <c:v>-3.6499984726971135E-2</c:v>
                </c:pt>
                <c:pt idx="6">
                  <c:v>-2.5153559940559234E-2</c:v>
                </c:pt>
                <c:pt idx="7">
                  <c:v>2.2295089098850696E-2</c:v>
                </c:pt>
                <c:pt idx="8">
                  <c:v>1.2420782414244158E-2</c:v>
                </c:pt>
                <c:pt idx="9">
                  <c:v>-8.5262054849962965E-2</c:v>
                </c:pt>
                <c:pt idx="10">
                  <c:v>-1.1588249911042681E-2</c:v>
                </c:pt>
                <c:pt idx="11">
                  <c:v>-1.1757415141227412E-2</c:v>
                </c:pt>
                <c:pt idx="12">
                  <c:v>-1.5647916587200328E-2</c:v>
                </c:pt>
                <c:pt idx="13">
                  <c:v>-1.9032789233444092E-2</c:v>
                </c:pt>
                <c:pt idx="14">
                  <c:v>-1.3424638899586228E-2</c:v>
                </c:pt>
                <c:pt idx="15">
                  <c:v>-5.9911716025980999E-3</c:v>
                </c:pt>
                <c:pt idx="16">
                  <c:v>-6.4080091078011492E-4</c:v>
                </c:pt>
                <c:pt idx="17">
                  <c:v>4.0888137778267719E-3</c:v>
                </c:pt>
                <c:pt idx="18">
                  <c:v>7.1819720680270649E-3</c:v>
                </c:pt>
                <c:pt idx="19">
                  <c:v>1.7085165150197312E-2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'Cyklická zložka'!$B$39</c:f>
              <c:strCache>
                <c:ptCount val="1"/>
                <c:pt idx="0">
                  <c:v>Zamestnanosť v súkromnom sektore</c:v>
                </c:pt>
              </c:strCache>
            </c:strRef>
          </c:tx>
          <c:marker>
            <c:symbol val="none"/>
          </c:marker>
          <c:cat>
            <c:strRef>
              <c:f>'Cyklická zložka'!$C$35:$V$35</c:f>
              <c:strCach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strCache>
            </c:strRef>
          </c:cat>
          <c:val>
            <c:numRef>
              <c:f>'Cyklická zložka'!$C$39:$V$39</c:f>
              <c:numCache>
                <c:formatCode>0.00</c:formatCode>
                <c:ptCount val="20"/>
                <c:pt idx="0">
                  <c:v>9.5884566511665794E-3</c:v>
                </c:pt>
                <c:pt idx="1">
                  <c:v>-1.0419726496040799E-2</c:v>
                </c:pt>
                <c:pt idx="2">
                  <c:v>-1.9469822791838998E-2</c:v>
                </c:pt>
                <c:pt idx="3">
                  <c:v>-1.3014240164566499E-2</c:v>
                </c:pt>
                <c:pt idx="4">
                  <c:v>-2.8702909356552699E-2</c:v>
                </c:pt>
                <c:pt idx="5">
                  <c:v>1.19902167511583E-2</c:v>
                </c:pt>
                <c:pt idx="6">
                  <c:v>1.45293842723175E-2</c:v>
                </c:pt>
                <c:pt idx="7">
                  <c:v>2.58403339941022E-2</c:v>
                </c:pt>
                <c:pt idx="8">
                  <c:v>5.3122445705074697E-2</c:v>
                </c:pt>
                <c:pt idx="9">
                  <c:v>1.9844067876062001E-2</c:v>
                </c:pt>
                <c:pt idx="10">
                  <c:v>-1.0306894406309801E-2</c:v>
                </c:pt>
                <c:pt idx="11">
                  <c:v>-3.0525804112970698E-3</c:v>
                </c:pt>
                <c:pt idx="12">
                  <c:v>-7.1715971849250996E-3</c:v>
                </c:pt>
                <c:pt idx="13">
                  <c:v>-2.59966938907982E-2</c:v>
                </c:pt>
                <c:pt idx="14">
                  <c:v>-2.3266221255782999E-2</c:v>
                </c:pt>
                <c:pt idx="15">
                  <c:v>-2.7006634517998001E-3</c:v>
                </c:pt>
                <c:pt idx="16">
                  <c:v>5.0000000000000001E-4</c:v>
                </c:pt>
                <c:pt idx="17">
                  <c:v>5.7618055913524202E-3</c:v>
                </c:pt>
                <c:pt idx="18">
                  <c:v>7.4544760793102604E-3</c:v>
                </c:pt>
                <c:pt idx="19">
                  <c:v>6.9581755279575202E-3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7146240"/>
        <c:axId val="287148592"/>
      </c:lineChart>
      <c:catAx>
        <c:axId val="2871462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287148592"/>
        <c:crosses val="autoZero"/>
        <c:auto val="1"/>
        <c:lblAlgn val="ctr"/>
        <c:lblOffset val="100"/>
        <c:noMultiLvlLbl val="0"/>
      </c:catAx>
      <c:valAx>
        <c:axId val="287148592"/>
        <c:scaling>
          <c:orientation val="minMax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#,##0.00" sourceLinked="0"/>
        <c:majorTickMark val="out"/>
        <c:minorTickMark val="none"/>
        <c:tickLblPos val="nextTo"/>
        <c:crossAx val="2871462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82406816554918305"/>
          <c:w val="0.99549596808087726"/>
          <c:h val="0.1476866164345666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hyperlink" Target="#'Obsah'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Obsah'!A1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Obsah'!A1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0</xdr:colOff>
      <xdr:row>2</xdr:row>
      <xdr:rowOff>44450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8067675" y="219075"/>
          <a:ext cx="682625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6</xdr:col>
      <xdr:colOff>663787</xdr:colOff>
      <xdr:row>1</xdr:row>
      <xdr:rowOff>204787</xdr:rowOff>
    </xdr:from>
    <xdr:to>
      <xdr:col>13</xdr:col>
      <xdr:colOff>136068</xdr:colOff>
      <xdr:row>17</xdr:row>
      <xdr:rowOff>196904</xdr:rowOff>
    </xdr:to>
    <xdr:grpSp>
      <xdr:nvGrpSpPr>
        <xdr:cNvPr id="3" name="Skupina 2"/>
        <xdr:cNvGrpSpPr/>
      </xdr:nvGrpSpPr>
      <xdr:grpSpPr>
        <a:xfrm>
          <a:off x="9083887" y="338137"/>
          <a:ext cx="5358731" cy="3764017"/>
          <a:chOff x="1248735" y="8149758"/>
          <a:chExt cx="5431569" cy="4194322"/>
        </a:xfrm>
      </xdr:grpSpPr>
      <xdr:graphicFrame macro="">
        <xdr:nvGraphicFramePr>
          <xdr:cNvPr id="4" name="Graf 3"/>
          <xdr:cNvGraphicFramePr/>
        </xdr:nvGraphicFramePr>
        <xdr:xfrm>
          <a:off x="1248735" y="8149758"/>
          <a:ext cx="5431569" cy="419432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6" name="Päťuholník 5"/>
          <xdr:cNvSpPr/>
        </xdr:nvSpPr>
        <xdr:spPr>
          <a:xfrm>
            <a:off x="2734235" y="10880912"/>
            <a:ext cx="3305175" cy="930088"/>
          </a:xfrm>
          <a:prstGeom prst="homePlate">
            <a:avLst/>
          </a:prstGeom>
          <a:solidFill>
            <a:schemeClr val="accent1">
              <a:lumMod val="20000"/>
              <a:lumOff val="80000"/>
              <a:alpha val="34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sk-SK" sz="1000">
              <a:latin typeface="Arial Narrow" panose="020B0606020202030204" pitchFamily="34" charset="0"/>
            </a:endParaRPr>
          </a:p>
        </xdr:txBody>
      </xdr:sp>
      <xdr:graphicFrame macro="">
        <xdr:nvGraphicFramePr>
          <xdr:cNvPr id="5" name="Graf 4"/>
          <xdr:cNvGraphicFramePr/>
        </xdr:nvGraphicFramePr>
        <xdr:xfrm>
          <a:off x="2781860" y="10869706"/>
          <a:ext cx="2720228" cy="9571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28575</xdr:rowOff>
    </xdr:from>
    <xdr:to>
      <xdr:col>0</xdr:col>
      <xdr:colOff>609600</xdr:colOff>
      <xdr:row>2</xdr:row>
      <xdr:rowOff>82550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0" y="238125"/>
          <a:ext cx="609600" cy="27305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0</xdr:col>
      <xdr:colOff>666751</xdr:colOff>
      <xdr:row>2</xdr:row>
      <xdr:rowOff>34925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1" y="0"/>
          <a:ext cx="66675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9525</xdr:rowOff>
    </xdr:from>
    <xdr:to>
      <xdr:col>0</xdr:col>
      <xdr:colOff>590551</xdr:colOff>
      <xdr:row>2</xdr:row>
      <xdr:rowOff>44450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1" y="219075"/>
          <a:ext cx="59055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9525</xdr:rowOff>
    </xdr:from>
    <xdr:to>
      <xdr:col>0</xdr:col>
      <xdr:colOff>590551</xdr:colOff>
      <xdr:row>2</xdr:row>
      <xdr:rowOff>44450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1" y="219075"/>
          <a:ext cx="59055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13</xdr:row>
      <xdr:rowOff>47626</xdr:rowOff>
    </xdr:from>
    <xdr:to>
      <xdr:col>5</xdr:col>
      <xdr:colOff>333375</xdr:colOff>
      <xdr:row>25</xdr:row>
      <xdr:rowOff>107156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285750</xdr:colOff>
      <xdr:row>13</xdr:row>
      <xdr:rowOff>57150</xdr:rowOff>
    </xdr:from>
    <xdr:to>
      <xdr:col>13</xdr:col>
      <xdr:colOff>257175</xdr:colOff>
      <xdr:row>26</xdr:row>
      <xdr:rowOff>19050</xdr:rowOff>
    </xdr:to>
    <xdr:graphicFrame macro="">
      <xdr:nvGraphicFramePr>
        <xdr:cNvPr id="12" name="Graf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0</xdr:col>
      <xdr:colOff>726281</xdr:colOff>
      <xdr:row>2</xdr:row>
      <xdr:rowOff>102394</xdr:rowOff>
    </xdr:to>
    <xdr:sp macro="" textlink="">
      <xdr:nvSpPr>
        <xdr:cNvPr id="5" name="Zaoblený obdĺžnik 4">
          <a:hlinkClick xmlns:r="http://schemas.openxmlformats.org/officeDocument/2006/relationships" r:id="rId3"/>
        </xdr:cNvPr>
        <xdr:cNvSpPr/>
      </xdr:nvSpPr>
      <xdr:spPr>
        <a:xfrm>
          <a:off x="0" y="214313"/>
          <a:ext cx="726281" cy="3048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0.18471</cdr:x>
      <cdr:y>0.30337</cdr:y>
    </cdr:from>
    <cdr:to>
      <cdr:x>0.21178</cdr:x>
      <cdr:y>0.48596</cdr:y>
    </cdr:to>
    <cdr:sp macro="" textlink="">
      <cdr:nvSpPr>
        <cdr:cNvPr id="4" name="Textové pole 3"/>
        <cdr:cNvSpPr txBox="1"/>
      </cdr:nvSpPr>
      <cdr:spPr>
        <a:xfrm xmlns:a="http://schemas.openxmlformats.org/drawingml/2006/main" rot="18350066">
          <a:off x="876300" y="1257300"/>
          <a:ext cx="619125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sk-SK" sz="1100"/>
        </a:p>
      </cdr:txBody>
    </cdr:sp>
  </cdr:relSizeAnchor>
  <cdr:relSizeAnchor xmlns:cdr="http://schemas.openxmlformats.org/drawingml/2006/chartDrawing">
    <cdr:from>
      <cdr:x>0.15634</cdr:x>
      <cdr:y>0.17697</cdr:y>
    </cdr:from>
    <cdr:to>
      <cdr:x>0.21525</cdr:x>
      <cdr:y>0.66106</cdr:y>
    </cdr:to>
    <cdr:sp macro="" textlink="">
      <cdr:nvSpPr>
        <cdr:cNvPr id="6" name="Textové pole 1"/>
        <cdr:cNvSpPr txBox="1"/>
      </cdr:nvSpPr>
      <cdr:spPr>
        <a:xfrm xmlns:a="http://schemas.openxmlformats.org/drawingml/2006/main" rot="18203146">
          <a:off x="290629" y="1244627"/>
          <a:ext cx="1641475" cy="352425"/>
        </a:xfrm>
        <a:prstGeom xmlns:a="http://schemas.openxmlformats.org/drawingml/2006/main" prst="rect">
          <a:avLst/>
        </a:prstGeom>
      </cdr:spPr>
    </cdr:sp>
  </cdr:relSizeAnchor>
  <cdr:relSizeAnchor xmlns:cdr="http://schemas.openxmlformats.org/drawingml/2006/chartDrawing">
    <cdr:from>
      <cdr:x>0.15634</cdr:x>
      <cdr:y>0.17697</cdr:y>
    </cdr:from>
    <cdr:to>
      <cdr:x>0.21525</cdr:x>
      <cdr:y>0.66106</cdr:y>
    </cdr:to>
    <cdr:sp macro="" textlink="">
      <cdr:nvSpPr>
        <cdr:cNvPr id="7" name="Textové pole 1"/>
        <cdr:cNvSpPr txBox="1"/>
      </cdr:nvSpPr>
      <cdr:spPr>
        <a:xfrm xmlns:a="http://schemas.openxmlformats.org/drawingml/2006/main" rot="18203146">
          <a:off x="290629" y="1244627"/>
          <a:ext cx="1641475" cy="352425"/>
        </a:xfrm>
        <a:prstGeom xmlns:a="http://schemas.openxmlformats.org/drawingml/2006/main" prst="rect">
          <a:avLst/>
        </a:prstGeom>
      </cdr:spPr>
    </cdr:sp>
  </cdr:relSizeAnchor>
  <cdr:relSizeAnchor xmlns:cdr="http://schemas.openxmlformats.org/drawingml/2006/chartDrawing">
    <cdr:from>
      <cdr:x>0.15634</cdr:x>
      <cdr:y>0.17697</cdr:y>
    </cdr:from>
    <cdr:to>
      <cdr:x>0.21525</cdr:x>
      <cdr:y>0.66106</cdr:y>
    </cdr:to>
    <cdr:sp macro="" textlink="">
      <cdr:nvSpPr>
        <cdr:cNvPr id="8" name="Textové pole 1"/>
        <cdr:cNvSpPr txBox="1"/>
      </cdr:nvSpPr>
      <cdr:spPr>
        <a:xfrm xmlns:a="http://schemas.openxmlformats.org/drawingml/2006/main" rot="18203146">
          <a:off x="290629" y="1244627"/>
          <a:ext cx="1641475" cy="352425"/>
        </a:xfrm>
        <a:prstGeom xmlns:a="http://schemas.openxmlformats.org/drawingml/2006/main" prst="rect">
          <a:avLst/>
        </a:prstGeom>
      </cdr:spPr>
    </cdr:sp>
  </cdr:relSizeAnchor>
  <cdr:relSizeAnchor xmlns:cdr="http://schemas.openxmlformats.org/drawingml/2006/chartDrawing">
    <cdr:from>
      <cdr:x>0.18344</cdr:x>
      <cdr:y>0.22347</cdr:y>
    </cdr:from>
    <cdr:to>
      <cdr:x>0.5131</cdr:x>
      <cdr:y>0.36049</cdr:y>
    </cdr:to>
    <cdr:sp macro="" textlink="">
      <cdr:nvSpPr>
        <cdr:cNvPr id="2" name="Textové pole 1"/>
        <cdr:cNvSpPr txBox="1"/>
      </cdr:nvSpPr>
      <cdr:spPr>
        <a:xfrm xmlns:a="http://schemas.openxmlformats.org/drawingml/2006/main">
          <a:off x="1182202" y="840524"/>
          <a:ext cx="2124495" cy="5153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sk-SK" sz="800">
              <a:latin typeface="Arial Narrow" panose="020B0606020202030204" pitchFamily="34" charset="0"/>
            </a:rPr>
            <a:t>Pásmo bez</a:t>
          </a:r>
          <a:r>
            <a:rPr lang="sk-SK" sz="800" baseline="0">
              <a:latin typeface="Arial Narrow" panose="020B0606020202030204" pitchFamily="34" charset="0"/>
            </a:rPr>
            <a:t> odchýlenia od MTO</a:t>
          </a:r>
          <a:endParaRPr lang="sk-SK" sz="800">
            <a:latin typeface="Arial Narrow" panose="020B0606020202030204" pitchFamily="34" charset="0"/>
          </a:endParaRPr>
        </a:p>
      </cdr:txBody>
    </cdr:sp>
  </cdr:relSizeAnchor>
  <cdr:relSizeAnchor xmlns:cdr="http://schemas.openxmlformats.org/drawingml/2006/chartDrawing">
    <cdr:from>
      <cdr:x>0.31907</cdr:x>
      <cdr:y>0.60174</cdr:y>
    </cdr:from>
    <cdr:to>
      <cdr:x>1</cdr:x>
      <cdr:y>0.71788</cdr:y>
    </cdr:to>
    <cdr:sp macro="" textlink="">
      <cdr:nvSpPr>
        <cdr:cNvPr id="10" name="Textové pole 1"/>
        <cdr:cNvSpPr txBox="1"/>
      </cdr:nvSpPr>
      <cdr:spPr>
        <a:xfrm xmlns:a="http://schemas.openxmlformats.org/drawingml/2006/main">
          <a:off x="890463" y="1195608"/>
          <a:ext cx="1900362" cy="230768"/>
        </a:xfrm>
        <a:prstGeom xmlns:a="http://schemas.openxmlformats.org/drawingml/2006/main" prst="rect">
          <a:avLst/>
        </a:prstGeom>
      </cdr:spPr>
    </cdr:sp>
  </cdr:relSizeAnchor>
  <cdr:relSizeAnchor xmlns:cdr="http://schemas.openxmlformats.org/drawingml/2006/chartDrawing">
    <cdr:from>
      <cdr:x>0.48206</cdr:x>
      <cdr:y>0.69524</cdr:y>
    </cdr:from>
    <cdr:to>
      <cdr:x>0.88021</cdr:x>
      <cdr:y>0.864</cdr:y>
    </cdr:to>
    <cdr:sp macro="" textlink="">
      <cdr:nvSpPr>
        <cdr:cNvPr id="3" name="Textové pole 2"/>
        <cdr:cNvSpPr txBox="1"/>
      </cdr:nvSpPr>
      <cdr:spPr>
        <a:xfrm xmlns:a="http://schemas.openxmlformats.org/drawingml/2006/main">
          <a:off x="3106655" y="2614961"/>
          <a:ext cx="2565879" cy="6347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sk-SK" sz="800">
              <a:latin typeface="Arial Narrow" panose="020B0606020202030204" pitchFamily="34" charset="0"/>
            </a:rPr>
            <a:t>Pásmo výrazného odchýlenia od MTO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0.73557</cdr:x>
      <cdr:y>0.0517</cdr:y>
    </cdr:from>
    <cdr:to>
      <cdr:x>0.94924</cdr:x>
      <cdr:y>0.96477</cdr:y>
    </cdr:to>
    <cdr:sp macro="" textlink="">
      <cdr:nvSpPr>
        <cdr:cNvPr id="2" name="Obdĺžnik 1"/>
        <cdr:cNvSpPr/>
      </cdr:nvSpPr>
      <cdr:spPr>
        <a:xfrm xmlns:a="http://schemas.openxmlformats.org/drawingml/2006/main">
          <a:off x="2658906" y="142071"/>
          <a:ext cx="772360" cy="25090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9050">
          <a:solidFill>
            <a:schemeClr val="tx1"/>
          </a:solidFill>
          <a:prstDash val="dash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 xmlns:a="http://schemas.openxmlformats.org/drawingml/2006/main"/>
        <a:p xmlns:a="http://schemas.openxmlformats.org/drawingml/2006/main">
          <a:endParaRPr lang="sk-SK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9525</xdr:rowOff>
    </xdr:from>
    <xdr:to>
      <xdr:col>0</xdr:col>
      <xdr:colOff>638174</xdr:colOff>
      <xdr:row>2</xdr:row>
      <xdr:rowOff>53975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0" y="9525"/>
          <a:ext cx="638174" cy="263525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0</xdr:rowOff>
    </xdr:from>
    <xdr:to>
      <xdr:col>6</xdr:col>
      <xdr:colOff>28575</xdr:colOff>
      <xdr:row>27</xdr:row>
      <xdr:rowOff>104775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495301</xdr:colOff>
      <xdr:row>14</xdr:row>
      <xdr:rowOff>9526</xdr:rowOff>
    </xdr:from>
    <xdr:to>
      <xdr:col>17</xdr:col>
      <xdr:colOff>247650</xdr:colOff>
      <xdr:row>31</xdr:row>
      <xdr:rowOff>57150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1</xdr:row>
      <xdr:rowOff>0</xdr:rowOff>
    </xdr:from>
    <xdr:to>
      <xdr:col>0</xdr:col>
      <xdr:colOff>600075</xdr:colOff>
      <xdr:row>2</xdr:row>
      <xdr:rowOff>82550</xdr:rowOff>
    </xdr:to>
    <xdr:sp macro="" textlink="">
      <xdr:nvSpPr>
        <xdr:cNvPr id="4" name="Zaoblený obdĺžnik 3">
          <a:hlinkClick xmlns:r="http://schemas.openxmlformats.org/officeDocument/2006/relationships" r:id="rId3"/>
        </xdr:cNvPr>
        <xdr:cNvSpPr/>
      </xdr:nvSpPr>
      <xdr:spPr>
        <a:xfrm>
          <a:off x="1" y="161925"/>
          <a:ext cx="600074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695325</xdr:colOff>
      <xdr:row>2</xdr:row>
      <xdr:rowOff>34925</xdr:rowOff>
    </xdr:to>
    <xdr:sp macro="" textlink="">
      <xdr:nvSpPr>
        <xdr:cNvPr id="3" name="Zaoblený obdĺžnik 2">
          <a:hlinkClick xmlns:r="http://schemas.openxmlformats.org/officeDocument/2006/relationships" r:id="rId1"/>
        </xdr:cNvPr>
        <xdr:cNvSpPr/>
      </xdr:nvSpPr>
      <xdr:spPr>
        <a:xfrm>
          <a:off x="0" y="209550"/>
          <a:ext cx="695325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200025</xdr:rowOff>
    </xdr:from>
    <xdr:to>
      <xdr:col>0</xdr:col>
      <xdr:colOff>847725</xdr:colOff>
      <xdr:row>2</xdr:row>
      <xdr:rowOff>44450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0" y="200025"/>
          <a:ext cx="847725" cy="27305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9525</xdr:rowOff>
    </xdr:from>
    <xdr:to>
      <xdr:col>0</xdr:col>
      <xdr:colOff>704851</xdr:colOff>
      <xdr:row>2</xdr:row>
      <xdr:rowOff>44450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1" y="219075"/>
          <a:ext cx="70485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IFP_NEW\2_FISKAL\04_Modely\01_Konsolidacne%20usilie%20a%20fiskalny%20impulz\SS_MASTER_FIL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IFP_NEW\2_FISKAL\04_Modely\01_Konsolidacne%20usilie%20a%20fiskalny%20impulz\Vypocet_fiskalnych_cielov_a_rizik_CURRENT_prepocitana%20cesta%20k%20MTO_020620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IFP_NEW\5_MATERIALY\5_3_Strategicke_materialy\Fiskalny%20kompakt%20hodnotenie\2016%20maj\cyklicka_zlozka\CC_2016061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IFP_NEW\5_MATERIALY\5_3_Strategicke_materialy\Fiskalny%20kompakt%20hodnotenie\2016%20maj\Expenditure%20benchmark_jr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IFP_NEW\5_MATERIALY\5_3_Strategicke_materialy\Fiskalny%20kompakt%20hodnotenie\2016%20november\Cyklicka%20zlozka\CC_2016111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IFP_NEW\5_MATERIALY\5_3_Strategicke_materialy\Fiskalny%20kompakt%20hodnotenie\2016%20november\NPC\3_NPC_2015_S_2014_2016111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IFP_NEW\2_FISKAL\04_Modely\01_Konsolidacne%20usilie%20a%20fiskalny%20impulz\02%20-%20one%20offs\EU_korekcie_FK2015_no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ah"/>
      <sheetName val="Makro výbor 09-16"/>
      <sheetName val="MMF+OS 10-16"/>
      <sheetName val="Notif_table1_10-16"/>
      <sheetName val="Inputy EB_EK_FK"/>
      <sheetName val="EB(EK)_Calculation"/>
      <sheetName val="EB_EK"/>
      <sheetName val="EB_FK"/>
      <sheetName val="Fiskalny kompakt 11_2016"/>
      <sheetName val="SS_EK"/>
      <sheetName val="SS_FK"/>
      <sheetName val="Fiskalny kompakt 11_16SS"/>
      <sheetName val="Cyklicka Zlozka"/>
      <sheetName val="One-off"/>
    </sheetNames>
    <sheetDataSet>
      <sheetData sheetId="0"/>
      <sheetData sheetId="1"/>
      <sheetData sheetId="2">
        <row r="6">
          <cell r="I6">
            <v>26380.595999999998</v>
          </cell>
          <cell r="J6">
            <v>28719.138999999996</v>
          </cell>
          <cell r="K6">
            <v>29854.500000000004</v>
          </cell>
          <cell r="L6">
            <v>33734.979000000007</v>
          </cell>
        </row>
        <row r="41">
          <cell r="I41">
            <v>29539.480999999996</v>
          </cell>
          <cell r="J41">
            <v>30736.550999999996</v>
          </cell>
          <cell r="K41">
            <v>31910.616000000002</v>
          </cell>
          <cell r="L41">
            <v>35865.285999999993</v>
          </cell>
        </row>
        <row r="89">
          <cell r="I89">
            <v>72703.513000000006</v>
          </cell>
          <cell r="J89">
            <v>74169.873000000007</v>
          </cell>
          <cell r="K89">
            <v>75946.358999999997</v>
          </cell>
          <cell r="L89">
            <v>78685.607999999993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skalne ciele"/>
      <sheetName val="Neistoty 2015 2016"/>
    </sheetNames>
    <sheetDataSet>
      <sheetData sheetId="0">
        <row r="11">
          <cell r="AJ11" t="str">
            <v>cervena</v>
          </cell>
        </row>
        <row r="12">
          <cell r="AJ12" t="str">
            <v>biela</v>
          </cell>
        </row>
        <row r="13">
          <cell r="I13" t="str">
            <v>Štrukturálne saldo</v>
          </cell>
        </row>
        <row r="21">
          <cell r="I21" t="str">
            <v>Odhad rovnomernej cesty k MTO 2019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ison"/>
      <sheetName val="2014nov_disaggregation_cycles"/>
      <sheetName val="2014nov_contributions_chart"/>
      <sheetName val="2015feb_disaggregation_cycles"/>
      <sheetName val="2015jun_disaggregation_cycles"/>
      <sheetName val="2015jun_contributions_chart"/>
      <sheetName val="2015nov_disaggregtion_cycles"/>
      <sheetName val="2015nov_contributions_chart"/>
      <sheetName val="2016feb_disagregation_cycles"/>
      <sheetName val="2016apr_disaggregation_cycles"/>
      <sheetName val="2016jun_disaggregation_cycles"/>
      <sheetName val="2016jun_chart"/>
      <sheetName val="results_Eviews"/>
      <sheetName val="op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8">
          <cell r="A8">
            <v>2013</v>
          </cell>
        </row>
        <row r="9">
          <cell r="A9">
            <v>2014</v>
          </cell>
        </row>
        <row r="10">
          <cell r="A10">
            <v>2015</v>
          </cell>
        </row>
      </sheetData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SK June 2016_layout"/>
      <sheetName val="Data SK June 2016"/>
      <sheetName val="Data SK June 2016 RRZ"/>
      <sheetName val="Diskrecionárne opatrenia"/>
      <sheetName val="T12"/>
      <sheetName val="Data SK June 2016 old pristup"/>
      <sheetName val="Methodology"/>
    </sheetNames>
    <sheetDataSet>
      <sheetData sheetId="0"/>
      <sheetData sheetId="1">
        <row r="2">
          <cell r="C2">
            <v>2013</v>
          </cell>
          <cell r="D2">
            <v>2014</v>
          </cell>
          <cell r="E2">
            <v>2015</v>
          </cell>
        </row>
        <row r="3">
          <cell r="A3" t="str">
            <v>Makroekonomické predpoklady</v>
          </cell>
        </row>
        <row r="4">
          <cell r="A4" t="str">
            <v>Potencialny rast HDP (v %)</v>
          </cell>
        </row>
        <row r="5">
          <cell r="A5" t="str">
            <v>HDP deflátor (v %)</v>
          </cell>
        </row>
        <row r="6">
          <cell r="A6" t="str">
            <v>HDP v bežných cenách</v>
          </cell>
        </row>
        <row r="7">
          <cell r="A7" t="str">
            <v>Výdavkový agregát</v>
          </cell>
        </row>
        <row r="8">
          <cell r="A8" t="str">
            <v>1. Celkové výdavky</v>
          </cell>
        </row>
        <row r="9">
          <cell r="A9" t="str">
            <v>2.   Úrokové náklady</v>
          </cell>
        </row>
        <row r="10">
          <cell r="A10" t="str">
            <v>3.   Výdavky kryté EÚ zdrojmi (celkové)</v>
          </cell>
        </row>
        <row r="11">
          <cell r="A11" t="str">
            <v>z toho: Výdavky kryté EÚ zdrojmi (kapitálové)</v>
          </cell>
        </row>
        <row r="12">
          <cell r="A12" t="str">
            <v>4.   Kapitálové výdavky kryté národnými zdrojmi</v>
          </cell>
        </row>
        <row r="13">
          <cell r="A13" t="str">
            <v>5.   Vyhladené kapitálové výdavky (nár. zdroje 4-ročný pohyblivý priemer)</v>
          </cell>
        </row>
        <row r="14">
          <cell r="A14" t="str">
            <v>6.   Cyklické výdavky na dávky v nezamestnanosti</v>
          </cell>
        </row>
        <row r="15">
          <cell r="A15" t="str">
            <v xml:space="preserve">7.   Výdavky plne kryté automatickým zvýšením príjmov </v>
          </cell>
        </row>
        <row r="16">
          <cell r="A16" t="str">
            <v>8.  Vplyv zaradenia nových subjektov do sektora verejnej správy (DP)</v>
          </cell>
        </row>
        <row r="17">
          <cell r="A17" t="str">
            <v>9. Primárny výdavkový agregát (1-2-3+4-5-6-7-8)</v>
          </cell>
        </row>
        <row r="18">
          <cell r="A18" t="str">
            <v>10. Medziročná zmena primárneho výdavkového agregátu (9t-9t-1)</v>
          </cell>
        </row>
        <row r="19">
          <cell r="A19" t="str">
            <v>11. Zmena v príjmoch z titulu diskrečných príjmových opatrení</v>
          </cell>
        </row>
        <row r="20">
          <cell r="A20" t="str">
            <v>12. Nominálny rast agregátu výdavkov očisteného o príjmové opatrenia ((10t-11t)/9t-1)</v>
          </cell>
        </row>
        <row r="21">
          <cell r="A21" t="str">
            <v>13. Medziročná zmena deflátoru</v>
          </cell>
        </row>
        <row r="22">
          <cell r="A22" t="str">
            <v>14. Reálny rast agregátu výdavkov očist. o príjmové opatrenia (12-13)</v>
          </cell>
        </row>
        <row r="23">
          <cell r="A23" t="str">
            <v>15. Miera potencionálneho rastu HDP</v>
          </cell>
        </row>
        <row r="24">
          <cell r="A24" t="str">
            <v>16. Zníženie rastu výdavkov - zmena štrukturálneho salda/ ((1t-1- 2t-1)/HDPt-1)</v>
          </cell>
        </row>
        <row r="25">
          <cell r="A25" t="str">
            <v>17. Výdavkové pravidlo (15-16)</v>
          </cell>
        </row>
        <row r="32">
          <cell r="A32" t="str">
            <v xml:space="preserve"> Zohľadnenie dodatočných faktorov (v % HDP)</v>
          </cell>
        </row>
        <row r="36">
          <cell r="A36" t="str">
            <v>Odchýlka od výdavkového pravidla v % HDP - po zohľadnení dodatočných faktorov</v>
          </cell>
        </row>
        <row r="37">
          <cell r="A37" t="str">
            <v>Splnenie výdavkového benchmarku po zohľadnení dodatočných faktorov</v>
          </cell>
        </row>
        <row r="38">
          <cell r="A38" t="str">
            <v>Kumulatívna odchýlka od výdavkového pravidla t až t-2 (v % HDP)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ison"/>
      <sheetName val="2014nov_disaggregation_cycles"/>
      <sheetName val="2014nov_contributions_chart"/>
      <sheetName val="2015feb_disaggregation_cycles"/>
      <sheetName val="2015jun_disaggregation_cycles"/>
      <sheetName val="2015jun_contributions_chart"/>
      <sheetName val="2015nov_disaggregtion_cycles"/>
      <sheetName val="2015nov_contributions_chart"/>
      <sheetName val="2016feb_disagregation_cycles"/>
      <sheetName val="2016apr_disaggregation_cycles"/>
      <sheetName val="2016jun_disaggregation_cycles"/>
      <sheetName val="2016nov_disaggregation_cycles"/>
      <sheetName val="2016nov_chart"/>
      <sheetName val="results_Eviews"/>
      <sheetName val="op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G2">
            <v>4.9099063302157768</v>
          </cell>
        </row>
        <row r="3">
          <cell r="G3">
            <v>18.261249913653515</v>
          </cell>
        </row>
        <row r="4">
          <cell r="G4">
            <v>15.725404854708852</v>
          </cell>
        </row>
        <row r="5">
          <cell r="G5">
            <v>9.9024356525162425</v>
          </cell>
        </row>
      </sheetData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PC_ESA 2010"/>
      <sheetName val="S_2014_"/>
      <sheetName val="NPC_2015"/>
      <sheetName val="S_2015"/>
      <sheetName val="NPC_2015_rozdiel"/>
    </sheetNames>
    <sheetDataSet>
      <sheetData sheetId="0"/>
      <sheetData sheetId="1">
        <row r="110">
          <cell r="N110">
            <v>0</v>
          </cell>
        </row>
        <row r="280">
          <cell r="N280">
            <v>64728</v>
          </cell>
        </row>
      </sheetData>
      <sheetData sheetId="2"/>
      <sheetData sheetId="3">
        <row r="110">
          <cell r="N110">
            <v>0</v>
          </cell>
        </row>
        <row r="280">
          <cell r="N280">
            <v>234441</v>
          </cell>
        </row>
      </sheetData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ystup"/>
      <sheetName val="Data"/>
      <sheetName val="2015"/>
    </sheetNames>
    <sheetDataSet>
      <sheetData sheetId="0"/>
      <sheetData sheetId="1">
        <row r="11">
          <cell r="B11">
            <v>124399</v>
          </cell>
        </row>
        <row r="14">
          <cell r="B14">
            <v>208951</v>
          </cell>
        </row>
        <row r="17">
          <cell r="B17">
            <v>243440.14329999997</v>
          </cell>
        </row>
        <row r="26">
          <cell r="K26">
            <v>109439.97541314697</v>
          </cell>
          <cell r="L26">
            <v>252465.18800689426</v>
          </cell>
          <cell r="M26">
            <v>83136.924394831134</v>
          </cell>
          <cell r="N26">
            <v>72599.751282436468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Motív Office">
  <a:themeElements>
    <a:clrScheme name="IFP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C9ADC"/>
      </a:accent1>
      <a:accent2>
        <a:srgbClr val="AAD3F2"/>
      </a:accent2>
      <a:accent3>
        <a:srgbClr val="B0D6AF"/>
      </a:accent3>
      <a:accent4>
        <a:srgbClr val="D3BEDE"/>
      </a:accent4>
      <a:accent5>
        <a:srgbClr val="D9D3AB"/>
      </a:accent5>
      <a:accent6>
        <a:srgbClr val="F9C9BA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IFP farby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B0D6AF"/>
    </a:accent1>
    <a:accent2>
      <a:srgbClr val="D3BEDE"/>
    </a:accent2>
    <a:accent3>
      <a:srgbClr val="D9D3AB"/>
    </a:accent3>
    <a:accent4>
      <a:srgbClr val="AAD3F2"/>
    </a:accent4>
    <a:accent5>
      <a:srgbClr val="F9C9BA"/>
    </a:accent5>
    <a:accent6>
      <a:srgbClr val="2C9ADC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/>
  <dimension ref="A2:I15"/>
  <sheetViews>
    <sheetView showGridLines="0" tabSelected="1" workbookViewId="0">
      <selection activeCell="D23" sqref="D23"/>
    </sheetView>
  </sheetViews>
  <sheetFormatPr defaultRowHeight="16.5" x14ac:dyDescent="0.3"/>
  <cols>
    <col min="1" max="1" width="5.85546875" style="5" customWidth="1"/>
    <col min="2" max="2" width="9.140625" style="5"/>
    <col min="3" max="3" width="19.42578125" style="5" bestFit="1" customWidth="1"/>
    <col min="4" max="16384" width="9.140625" style="5"/>
  </cols>
  <sheetData>
    <row r="2" spans="1:9" ht="19.5" x14ac:dyDescent="0.3">
      <c r="B2" s="89" t="s">
        <v>112</v>
      </c>
      <c r="C2" s="92"/>
      <c r="D2" s="92"/>
      <c r="E2" s="92"/>
      <c r="F2" s="92"/>
      <c r="G2" s="92"/>
      <c r="H2" s="92"/>
      <c r="I2" s="92"/>
    </row>
    <row r="3" spans="1:9" ht="17.25" thickBot="1" x14ac:dyDescent="0.35"/>
    <row r="4" spans="1:9" ht="17.25" thickBot="1" x14ac:dyDescent="0.35">
      <c r="A4" s="379"/>
      <c r="B4" s="90">
        <v>1</v>
      </c>
      <c r="C4" s="380" t="s">
        <v>248</v>
      </c>
      <c r="D4" s="60"/>
      <c r="E4" s="60"/>
      <c r="F4" s="60"/>
      <c r="G4" s="60"/>
    </row>
    <row r="5" spans="1:9" ht="17.25" thickBot="1" x14ac:dyDescent="0.35">
      <c r="B5" s="90">
        <v>2</v>
      </c>
      <c r="C5" s="380" t="s">
        <v>114</v>
      </c>
      <c r="D5" s="60"/>
      <c r="E5" s="60"/>
      <c r="F5" s="60"/>
      <c r="G5" s="60"/>
    </row>
    <row r="6" spans="1:9" ht="17.25" thickBot="1" x14ac:dyDescent="0.35">
      <c r="B6" s="90">
        <v>3</v>
      </c>
      <c r="C6" s="380" t="s">
        <v>240</v>
      </c>
      <c r="D6" s="60"/>
      <c r="E6" s="60"/>
      <c r="F6" s="60"/>
      <c r="G6" s="60"/>
    </row>
    <row r="7" spans="1:9" ht="17.25" thickBot="1" x14ac:dyDescent="0.35">
      <c r="B7" s="90">
        <v>4</v>
      </c>
      <c r="C7" s="380" t="s">
        <v>145</v>
      </c>
      <c r="D7" s="60"/>
      <c r="E7" s="60"/>
      <c r="F7" s="60"/>
      <c r="G7" s="60"/>
    </row>
    <row r="8" spans="1:9" ht="17.25" thickBot="1" x14ac:dyDescent="0.35">
      <c r="B8" s="90">
        <v>5</v>
      </c>
      <c r="C8" s="380" t="s">
        <v>113</v>
      </c>
      <c r="D8" s="60"/>
      <c r="E8" s="60"/>
      <c r="F8" s="60"/>
      <c r="G8" s="60"/>
    </row>
    <row r="9" spans="1:9" ht="17.25" thickBot="1" x14ac:dyDescent="0.35">
      <c r="B9" s="90">
        <v>6</v>
      </c>
      <c r="C9" s="380" t="s">
        <v>241</v>
      </c>
      <c r="D9" s="60"/>
      <c r="E9" s="60"/>
      <c r="F9" s="60"/>
      <c r="G9" s="60"/>
    </row>
    <row r="10" spans="1:9" ht="17.25" thickBot="1" x14ac:dyDescent="0.35">
      <c r="B10" s="90">
        <v>7</v>
      </c>
      <c r="C10" s="380" t="s">
        <v>242</v>
      </c>
      <c r="D10" s="60"/>
      <c r="E10" s="60"/>
      <c r="F10" s="60"/>
      <c r="G10" s="60"/>
    </row>
    <row r="11" spans="1:9" ht="17.25" thickBot="1" x14ac:dyDescent="0.35">
      <c r="B11" s="90">
        <v>8</v>
      </c>
      <c r="C11" s="380" t="s">
        <v>243</v>
      </c>
      <c r="D11" s="60"/>
      <c r="E11" s="60"/>
      <c r="F11" s="60"/>
      <c r="G11" s="60"/>
    </row>
    <row r="12" spans="1:9" ht="17.25" thickBot="1" x14ac:dyDescent="0.35">
      <c r="B12" s="90">
        <v>9</v>
      </c>
      <c r="C12" s="380" t="s">
        <v>245</v>
      </c>
      <c r="D12" s="60"/>
      <c r="E12" s="60"/>
      <c r="F12" s="60"/>
      <c r="G12" s="60"/>
    </row>
    <row r="13" spans="1:9" ht="17.25" thickBot="1" x14ac:dyDescent="0.35">
      <c r="B13" s="90">
        <v>10</v>
      </c>
      <c r="C13" s="380" t="s">
        <v>244</v>
      </c>
      <c r="D13" s="60"/>
      <c r="E13" s="60"/>
      <c r="F13" s="60"/>
      <c r="G13" s="60"/>
    </row>
    <row r="14" spans="1:9" ht="17.25" thickBot="1" x14ac:dyDescent="0.35">
      <c r="B14" s="90">
        <v>11</v>
      </c>
      <c r="C14" s="380" t="s">
        <v>238</v>
      </c>
      <c r="D14" s="60"/>
      <c r="E14" s="60"/>
      <c r="F14" s="60"/>
      <c r="G14" s="60"/>
    </row>
    <row r="15" spans="1:9" x14ac:dyDescent="0.3">
      <c r="C15" s="60"/>
      <c r="D15" s="60"/>
      <c r="E15" s="60"/>
      <c r="F15" s="60"/>
      <c r="G15" s="60"/>
    </row>
  </sheetData>
  <hyperlinks>
    <hyperlink ref="C4" location="'Celkove hodnotenie'!A1" display="Celkove hodnotenie"/>
    <hyperlink ref="C5" location="'ŠS'!A1" display="ŠS"/>
    <hyperlink ref="C6" location="'ŠS_faktory'!A1" display="ŠS_faktory"/>
    <hyperlink ref="C7" location="'Cyklická zložka'!A1" display="Cyklická zložka"/>
    <hyperlink ref="C8" location="'VP'!A1" display="VP"/>
    <hyperlink ref="C9" location="'VP_faktory'!A1" display="VP_faktory"/>
    <hyperlink ref="C10" location="'FK vs EK'!A1" display="FK vs EK"/>
    <hyperlink ref="C11" location="'One-offs'!A1" display="One-offs"/>
    <hyperlink ref="C12" location="'NPC'!A1" display="NPC"/>
    <hyperlink ref="C13" location="'DRM'!A1" display="DRM"/>
    <hyperlink ref="C14" location="'Výdavky z EÚ fondov'!A1" display="Výdavky z EÚ fondov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9"/>
  <dimension ref="B2:E25"/>
  <sheetViews>
    <sheetView showGridLines="0" workbookViewId="0">
      <selection activeCell="A40" sqref="A40"/>
    </sheetView>
  </sheetViews>
  <sheetFormatPr defaultRowHeight="12.75" x14ac:dyDescent="0.2"/>
  <cols>
    <col min="1" max="1" width="11.5703125" style="91" customWidth="1"/>
    <col min="2" max="2" width="54.7109375" style="91" customWidth="1"/>
    <col min="3" max="4" width="7.85546875" style="91" customWidth="1"/>
    <col min="5" max="16384" width="9.140625" style="91"/>
  </cols>
  <sheetData>
    <row r="2" spans="2:4" ht="13.5" thickBot="1" x14ac:dyDescent="0.25">
      <c r="B2" s="401" t="s">
        <v>220</v>
      </c>
      <c r="C2" s="401"/>
      <c r="D2" s="401"/>
    </row>
    <row r="3" spans="2:4" ht="13.5" thickBot="1" x14ac:dyDescent="0.25">
      <c r="B3" s="350"/>
      <c r="C3" s="336" t="s">
        <v>28</v>
      </c>
      <c r="D3" s="336" t="s">
        <v>1</v>
      </c>
    </row>
    <row r="4" spans="2:4" ht="13.5" thickBot="1" x14ac:dyDescent="0.25">
      <c r="B4" s="202" t="s">
        <v>29</v>
      </c>
      <c r="C4" s="351">
        <f>SUM(C5,C12,C15,C16)</f>
        <v>966.46864940000523</v>
      </c>
      <c r="D4" s="352">
        <f>SUM(D5,D12,D15,D16)</f>
        <v>1.2282661009622058</v>
      </c>
    </row>
    <row r="5" spans="2:4" x14ac:dyDescent="0.2">
      <c r="B5" s="337" t="s">
        <v>30</v>
      </c>
      <c r="C5" s="353">
        <f>SUM(C6:C11)</f>
        <v>188.5</v>
      </c>
      <c r="D5" s="319">
        <f>C5/ŠS!$F$34*100</f>
        <v>0.23956096266041435</v>
      </c>
    </row>
    <row r="6" spans="2:4" x14ac:dyDescent="0.2">
      <c r="B6" s="253" t="s">
        <v>31</v>
      </c>
      <c r="C6" s="354">
        <v>126</v>
      </c>
      <c r="D6" s="319">
        <f>C6/ŠS!$F$34*100</f>
        <v>0.16013093525311517</v>
      </c>
    </row>
    <row r="7" spans="2:4" x14ac:dyDescent="0.2">
      <c r="B7" s="253" t="s">
        <v>32</v>
      </c>
      <c r="C7" s="353">
        <v>56.5</v>
      </c>
      <c r="D7" s="319">
        <f>C7/ŠS!$F$34*100</f>
        <v>7.180474477619847E-2</v>
      </c>
    </row>
    <row r="8" spans="2:4" x14ac:dyDescent="0.2">
      <c r="B8" s="253" t="s">
        <v>33</v>
      </c>
      <c r="C8" s="354">
        <v>47</v>
      </c>
      <c r="D8" s="319">
        <f>C8/ŠS!$F$34*100</f>
        <v>5.9731380610288987E-2</v>
      </c>
    </row>
    <row r="9" spans="2:4" x14ac:dyDescent="0.2">
      <c r="B9" s="253" t="s">
        <v>34</v>
      </c>
      <c r="C9" s="355">
        <v>25</v>
      </c>
      <c r="D9" s="354">
        <f>C9/ŠS!$F$34*100</f>
        <v>3.1772010962919678E-2</v>
      </c>
    </row>
    <row r="10" spans="2:4" x14ac:dyDescent="0.2">
      <c r="B10" s="253" t="s">
        <v>35</v>
      </c>
      <c r="C10" s="354">
        <v>-24</v>
      </c>
      <c r="D10" s="354">
        <f>C10/ŠS!$F$34*100</f>
        <v>-3.050113052440289E-2</v>
      </c>
    </row>
    <row r="11" spans="2:4" x14ac:dyDescent="0.2">
      <c r="B11" s="253" t="s">
        <v>36</v>
      </c>
      <c r="C11" s="354">
        <v>-42</v>
      </c>
      <c r="D11" s="319">
        <f>C11/ŠS!$F$34*100</f>
        <v>-5.3376978417705057E-2</v>
      </c>
    </row>
    <row r="12" spans="2:4" x14ac:dyDescent="0.2">
      <c r="B12" s="337" t="s">
        <v>37</v>
      </c>
      <c r="C12" s="353">
        <f>SUM(C13:C14)</f>
        <v>75.379864000006819</v>
      </c>
      <c r="D12" s="319">
        <f>C12/ŠS!$F$34*100</f>
        <v>9.5798794615664429E-2</v>
      </c>
    </row>
    <row r="13" spans="2:4" x14ac:dyDescent="0.2">
      <c r="B13" s="253" t="s">
        <v>38</v>
      </c>
      <c r="C13" s="354">
        <v>-54</v>
      </c>
      <c r="D13" s="319">
        <f>C13/ŠS!$F$34*100</f>
        <v>-6.8627543679906505E-2</v>
      </c>
    </row>
    <row r="14" spans="2:4" x14ac:dyDescent="0.2">
      <c r="B14" s="253" t="s">
        <v>39</v>
      </c>
      <c r="C14" s="354">
        <v>129.37986400000682</v>
      </c>
      <c r="D14" s="319">
        <f>C14/ŠS!$F$34*100</f>
        <v>0.16442633829557093</v>
      </c>
    </row>
    <row r="15" spans="2:4" x14ac:dyDescent="0.2">
      <c r="B15" s="337" t="s">
        <v>40</v>
      </c>
      <c r="C15" s="356">
        <v>179.31315639999957</v>
      </c>
      <c r="D15" s="319">
        <f>C15/ŠS!$F$34*100</f>
        <v>0.22788558283746069</v>
      </c>
    </row>
    <row r="16" spans="2:4" ht="13.5" thickBot="1" x14ac:dyDescent="0.25">
      <c r="B16" s="337" t="s">
        <v>41</v>
      </c>
      <c r="C16" s="356">
        <v>523.27562899999884</v>
      </c>
      <c r="D16" s="319">
        <f>C16/ŠS!$F$34*100</f>
        <v>0.66502076084866613</v>
      </c>
    </row>
    <row r="17" spans="2:5" ht="13.5" thickBot="1" x14ac:dyDescent="0.25">
      <c r="B17" s="202" t="s">
        <v>42</v>
      </c>
      <c r="C17" s="357">
        <f>SUM(C18:C22)</f>
        <v>-1572.2414518000069</v>
      </c>
      <c r="D17" s="352">
        <f>SUM(D18:D22)</f>
        <v>-1.9981309057178627</v>
      </c>
      <c r="E17" s="358"/>
    </row>
    <row r="18" spans="2:5" x14ac:dyDescent="0.2">
      <c r="B18" s="337" t="s">
        <v>43</v>
      </c>
      <c r="C18" s="356">
        <v>-412.35643599999912</v>
      </c>
      <c r="D18" s="319">
        <f>C18/ŠS!$F$34*100</f>
        <v>-0.52405572820889834</v>
      </c>
      <c r="E18" s="358"/>
    </row>
    <row r="19" spans="2:5" x14ac:dyDescent="0.2">
      <c r="B19" s="337" t="s">
        <v>44</v>
      </c>
      <c r="C19" s="356">
        <v>-136.18289600000026</v>
      </c>
      <c r="D19" s="319">
        <f>C19/ŠS!$F$34*100</f>
        <v>-0.17307217858696633</v>
      </c>
      <c r="E19" s="358"/>
    </row>
    <row r="20" spans="2:5" x14ac:dyDescent="0.2">
      <c r="B20" s="337" t="s">
        <v>45</v>
      </c>
      <c r="C20" s="356">
        <v>-167.26170079999997</v>
      </c>
      <c r="D20" s="319">
        <f>C20/ŠS!$F$34*100</f>
        <v>-0.21256962365976761</v>
      </c>
      <c r="E20" s="358"/>
    </row>
    <row r="21" spans="2:5" x14ac:dyDescent="0.2">
      <c r="B21" s="337" t="s">
        <v>46</v>
      </c>
      <c r="C21" s="356">
        <v>-85.441819000007627</v>
      </c>
      <c r="D21" s="319">
        <f>C21/ŠS!$F$34*100</f>
        <v>-0.10858633639840164</v>
      </c>
      <c r="E21" s="358"/>
    </row>
    <row r="22" spans="2:5" ht="13.5" thickBot="1" x14ac:dyDescent="0.25">
      <c r="B22" s="337" t="s">
        <v>47</v>
      </c>
      <c r="C22" s="356">
        <v>-770.9985999999999</v>
      </c>
      <c r="D22" s="319">
        <f>C22/ŠS!$F$34*100</f>
        <v>-0.97984703886382885</v>
      </c>
      <c r="E22" s="358"/>
    </row>
    <row r="23" spans="2:5" ht="13.5" thickBot="1" x14ac:dyDescent="0.25">
      <c r="B23" s="359" t="s">
        <v>126</v>
      </c>
      <c r="C23" s="360">
        <f>C4+C17</f>
        <v>-605.77280240000164</v>
      </c>
      <c r="D23" s="361">
        <f>D4+D17</f>
        <v>-0.76986480475565688</v>
      </c>
      <c r="E23" s="358"/>
    </row>
    <row r="24" spans="2:5" ht="13.5" thickTop="1" x14ac:dyDescent="0.2">
      <c r="B24" s="298" t="s">
        <v>48</v>
      </c>
      <c r="C24" s="407" t="s">
        <v>49</v>
      </c>
      <c r="D24" s="407"/>
    </row>
    <row r="25" spans="2:5" x14ac:dyDescent="0.2">
      <c r="B25" s="309"/>
    </row>
  </sheetData>
  <mergeCells count="2">
    <mergeCell ref="B2:D2"/>
    <mergeCell ref="C24:D24"/>
  </mergeCells>
  <pageMargins left="0.7" right="0.7" top="0.75" bottom="0.75" header="0.3" footer="0.3"/>
  <ignoredErrors>
    <ignoredError sqref="C12" formulaRange="1"/>
    <ignoredError sqref="D17" formula="1"/>
  </ignoredError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1"/>
  <dimension ref="B2:L39"/>
  <sheetViews>
    <sheetView showGridLines="0" workbookViewId="0">
      <selection activeCell="A40" sqref="A40"/>
    </sheetView>
  </sheetViews>
  <sheetFormatPr defaultRowHeight="12.75" x14ac:dyDescent="0.2"/>
  <cols>
    <col min="1" max="1" width="11.28515625" style="91" customWidth="1"/>
    <col min="2" max="2" width="50.140625" style="91" bestFit="1" customWidth="1"/>
    <col min="3" max="10" width="4.42578125" style="110" bestFit="1" customWidth="1"/>
    <col min="11" max="16384" width="9.140625" style="91"/>
  </cols>
  <sheetData>
    <row r="2" spans="2:12" ht="13.5" thickBot="1" x14ac:dyDescent="0.25">
      <c r="B2" s="162" t="s">
        <v>235</v>
      </c>
      <c r="C2" s="408" t="s">
        <v>74</v>
      </c>
      <c r="D2" s="408"/>
      <c r="E2" s="408"/>
      <c r="F2" s="408"/>
      <c r="G2" s="409" t="s">
        <v>75</v>
      </c>
      <c r="H2" s="409"/>
      <c r="I2" s="409"/>
      <c r="J2" s="409"/>
    </row>
    <row r="3" spans="2:12" x14ac:dyDescent="0.2">
      <c r="B3" s="65" t="s">
        <v>76</v>
      </c>
      <c r="C3" s="67">
        <v>2012</v>
      </c>
      <c r="D3" s="66">
        <v>2013</v>
      </c>
      <c r="E3" s="66">
        <v>2014</v>
      </c>
      <c r="F3" s="68">
        <v>2015</v>
      </c>
      <c r="G3" s="66">
        <v>2012</v>
      </c>
      <c r="H3" s="66">
        <v>2013</v>
      </c>
      <c r="I3" s="66">
        <v>2014</v>
      </c>
      <c r="J3" s="66">
        <v>2015</v>
      </c>
    </row>
    <row r="4" spans="2:12" x14ac:dyDescent="0.2">
      <c r="B4" s="39" t="s">
        <v>93</v>
      </c>
      <c r="C4" s="93"/>
      <c r="D4" s="40">
        <v>159.828</v>
      </c>
      <c r="E4" s="40"/>
      <c r="F4" s="41"/>
      <c r="G4" s="40"/>
      <c r="H4" s="40">
        <v>159.828</v>
      </c>
      <c r="I4" s="42"/>
      <c r="J4" s="42"/>
    </row>
    <row r="5" spans="2:12" x14ac:dyDescent="0.2">
      <c r="B5" s="39" t="s">
        <v>94</v>
      </c>
      <c r="C5" s="93"/>
      <c r="D5" s="40">
        <v>26.923999999999999</v>
      </c>
      <c r="E5" s="40"/>
      <c r="F5" s="41"/>
      <c r="G5" s="40"/>
      <c r="H5" s="40">
        <v>26.923999999999999</v>
      </c>
      <c r="I5" s="42"/>
      <c r="J5" s="42"/>
    </row>
    <row r="6" spans="2:12" x14ac:dyDescent="0.2">
      <c r="B6" s="39" t="s">
        <v>95</v>
      </c>
      <c r="C6" s="93"/>
      <c r="D6" s="40">
        <v>130.07300000000001</v>
      </c>
      <c r="E6" s="40"/>
      <c r="F6" s="41"/>
      <c r="G6" s="40"/>
      <c r="H6" s="40">
        <v>130.07300000000001</v>
      </c>
      <c r="I6" s="42"/>
      <c r="J6" s="42"/>
    </row>
    <row r="7" spans="2:12" x14ac:dyDescent="0.2">
      <c r="B7" s="39" t="s">
        <v>96</v>
      </c>
      <c r="C7" s="94">
        <v>148.5</v>
      </c>
      <c r="D7" s="40">
        <v>506.69405370225599</v>
      </c>
      <c r="E7" s="40"/>
      <c r="F7" s="41"/>
      <c r="G7" s="40">
        <f>C7</f>
        <v>148.5</v>
      </c>
      <c r="H7" s="40">
        <f>D7-C7</f>
        <v>358.19405370225599</v>
      </c>
      <c r="I7" s="42"/>
      <c r="J7" s="42"/>
      <c r="L7" s="105"/>
    </row>
    <row r="8" spans="2:12" x14ac:dyDescent="0.2">
      <c r="B8" s="39" t="s">
        <v>97</v>
      </c>
      <c r="C8" s="59">
        <v>74.268900000000002</v>
      </c>
      <c r="D8" s="40"/>
      <c r="E8" s="40"/>
      <c r="F8" s="41"/>
      <c r="G8" s="40">
        <f>C8</f>
        <v>74.268900000000002</v>
      </c>
      <c r="H8" s="40"/>
      <c r="I8" s="42"/>
      <c r="J8" s="42"/>
    </row>
    <row r="9" spans="2:12" x14ac:dyDescent="0.2">
      <c r="B9" s="39" t="s">
        <v>98</v>
      </c>
      <c r="C9" s="59">
        <v>62.4</v>
      </c>
      <c r="D9" s="43">
        <v>91.77</v>
      </c>
      <c r="E9" s="40"/>
      <c r="F9" s="41"/>
      <c r="G9" s="40">
        <f>C9</f>
        <v>62.4</v>
      </c>
      <c r="H9" s="40">
        <f>D9-C9</f>
        <v>29.369999999999997</v>
      </c>
      <c r="I9" s="42"/>
      <c r="J9" s="42"/>
    </row>
    <row r="10" spans="2:12" x14ac:dyDescent="0.2">
      <c r="B10" s="44" t="s">
        <v>99</v>
      </c>
      <c r="C10" s="59">
        <f>C9-C11</f>
        <v>39.221039999999995</v>
      </c>
      <c r="D10" s="43">
        <f>D9-D11</f>
        <v>0</v>
      </c>
      <c r="E10" s="40"/>
      <c r="F10" s="41"/>
      <c r="G10" s="40">
        <f>C10</f>
        <v>39.221039999999995</v>
      </c>
      <c r="H10" s="40">
        <f>D10-C10</f>
        <v>-39.221039999999995</v>
      </c>
      <c r="I10" s="42"/>
      <c r="J10" s="42"/>
    </row>
    <row r="11" spans="2:12" x14ac:dyDescent="0.2">
      <c r="B11" s="44" t="s">
        <v>100</v>
      </c>
      <c r="C11" s="94">
        <v>23.178960000000004</v>
      </c>
      <c r="D11" s="43">
        <v>91.77</v>
      </c>
      <c r="E11" s="40"/>
      <c r="F11" s="41"/>
      <c r="G11" s="40">
        <f>C11</f>
        <v>23.178960000000004</v>
      </c>
      <c r="H11" s="40">
        <f>D11-C11</f>
        <v>68.591039999999992</v>
      </c>
      <c r="I11" s="42"/>
      <c r="J11" s="42"/>
    </row>
    <row r="12" spans="2:12" x14ac:dyDescent="0.2">
      <c r="B12" s="39" t="s">
        <v>77</v>
      </c>
      <c r="C12" s="93"/>
      <c r="D12" s="40"/>
      <c r="E12" s="40">
        <v>-41.746185000000004</v>
      </c>
      <c r="F12" s="41"/>
      <c r="G12" s="40"/>
      <c r="H12" s="40"/>
      <c r="I12" s="40">
        <f>E12-D12</f>
        <v>-41.746185000000004</v>
      </c>
      <c r="J12" s="40"/>
    </row>
    <row r="13" spans="2:12" x14ac:dyDescent="0.2">
      <c r="B13" s="39" t="s">
        <v>78</v>
      </c>
      <c r="C13" s="93"/>
      <c r="D13" s="40"/>
      <c r="E13" s="40"/>
      <c r="F13" s="41">
        <v>-41.746185000000004</v>
      </c>
      <c r="G13" s="40"/>
      <c r="H13" s="40"/>
      <c r="I13" s="362"/>
      <c r="J13" s="40">
        <f>F13-E13</f>
        <v>-41.746185000000004</v>
      </c>
    </row>
    <row r="14" spans="2:12" x14ac:dyDescent="0.2">
      <c r="B14" s="39" t="s">
        <v>101</v>
      </c>
      <c r="C14" s="94">
        <v>31.4</v>
      </c>
      <c r="D14" s="40">
        <v>63.922440820700011</v>
      </c>
      <c r="E14" s="40"/>
      <c r="F14" s="41"/>
      <c r="G14" s="40">
        <f>C14</f>
        <v>31.4</v>
      </c>
      <c r="H14" s="40">
        <f t="shared" ref="H14:H22" si="0">D14-C14</f>
        <v>32.522440820700012</v>
      </c>
      <c r="I14" s="42"/>
      <c r="J14" s="42"/>
    </row>
    <row r="15" spans="2:12" x14ac:dyDescent="0.2">
      <c r="B15" s="39" t="s">
        <v>102</v>
      </c>
      <c r="C15" s="94">
        <v>6.44</v>
      </c>
      <c r="D15" s="40">
        <v>27.396000000000001</v>
      </c>
      <c r="E15" s="40"/>
      <c r="F15" s="41"/>
      <c r="G15" s="40">
        <f>C15</f>
        <v>6.44</v>
      </c>
      <c r="H15" s="40">
        <f t="shared" si="0"/>
        <v>20.956</v>
      </c>
      <c r="I15" s="42"/>
      <c r="J15" s="42"/>
    </row>
    <row r="16" spans="2:12" x14ac:dyDescent="0.2">
      <c r="B16" s="39" t="s">
        <v>103</v>
      </c>
      <c r="C16" s="94">
        <v>0.48799999999999999</v>
      </c>
      <c r="D16" s="40">
        <v>-0.13245935605598055</v>
      </c>
      <c r="E16" s="40"/>
      <c r="F16" s="41"/>
      <c r="G16" s="40">
        <f>C16</f>
        <v>0.48799999999999999</v>
      </c>
      <c r="H16" s="40">
        <f t="shared" si="0"/>
        <v>-0.62045935605598057</v>
      </c>
      <c r="I16" s="42"/>
      <c r="J16" s="42"/>
    </row>
    <row r="17" spans="2:10" x14ac:dyDescent="0.2">
      <c r="B17" s="39" t="s">
        <v>104</v>
      </c>
      <c r="C17" s="93"/>
      <c r="D17" s="40">
        <v>-13.1</v>
      </c>
      <c r="E17" s="40"/>
      <c r="F17" s="41"/>
      <c r="G17" s="40"/>
      <c r="H17" s="40">
        <f t="shared" si="0"/>
        <v>-13.1</v>
      </c>
      <c r="I17" s="42"/>
      <c r="J17" s="42"/>
    </row>
    <row r="18" spans="2:10" x14ac:dyDescent="0.2">
      <c r="B18" s="39" t="s">
        <v>105</v>
      </c>
      <c r="C18" s="93"/>
      <c r="D18" s="40">
        <v>384.5</v>
      </c>
      <c r="E18" s="40"/>
      <c r="F18" s="41"/>
      <c r="G18" s="40"/>
      <c r="H18" s="40">
        <f t="shared" si="0"/>
        <v>384.5</v>
      </c>
      <c r="I18" s="42"/>
      <c r="J18" s="42"/>
    </row>
    <row r="19" spans="2:10" x14ac:dyDescent="0.2">
      <c r="B19" s="39" t="s">
        <v>106</v>
      </c>
      <c r="C19" s="93"/>
      <c r="D19" s="40">
        <v>-10.26</v>
      </c>
      <c r="E19" s="40"/>
      <c r="F19" s="41"/>
      <c r="G19" s="40"/>
      <c r="H19" s="40">
        <f t="shared" si="0"/>
        <v>-10.26</v>
      </c>
      <c r="I19" s="42"/>
      <c r="J19" s="42"/>
    </row>
    <row r="20" spans="2:10" x14ac:dyDescent="0.2">
      <c r="B20" s="39" t="s">
        <v>107</v>
      </c>
      <c r="C20" s="93"/>
      <c r="D20" s="40">
        <v>-72</v>
      </c>
      <c r="E20" s="45"/>
      <c r="F20" s="46"/>
      <c r="G20" s="45"/>
      <c r="H20" s="45">
        <f t="shared" si="0"/>
        <v>-72</v>
      </c>
      <c r="I20" s="47"/>
      <c r="J20" s="47"/>
    </row>
    <row r="21" spans="2:10" x14ac:dyDescent="0.2">
      <c r="B21" s="39" t="s">
        <v>108</v>
      </c>
      <c r="C21" s="93"/>
      <c r="D21" s="40">
        <v>71.322000000000003</v>
      </c>
      <c r="E21" s="45"/>
      <c r="F21" s="46"/>
      <c r="G21" s="45"/>
      <c r="H21" s="45">
        <f t="shared" si="0"/>
        <v>71.322000000000003</v>
      </c>
      <c r="I21" s="47"/>
      <c r="J21" s="47"/>
    </row>
    <row r="22" spans="2:10" x14ac:dyDescent="0.2">
      <c r="B22" s="39" t="s">
        <v>109</v>
      </c>
      <c r="C22" s="93"/>
      <c r="D22" s="40">
        <v>4</v>
      </c>
      <c r="E22" s="45"/>
      <c r="F22" s="46"/>
      <c r="G22" s="45"/>
      <c r="H22" s="45">
        <f t="shared" si="0"/>
        <v>4</v>
      </c>
      <c r="I22" s="47"/>
      <c r="J22" s="47"/>
    </row>
    <row r="23" spans="2:10" x14ac:dyDescent="0.2">
      <c r="B23" s="39" t="s">
        <v>79</v>
      </c>
      <c r="C23" s="93"/>
      <c r="D23" s="40"/>
      <c r="E23" s="45">
        <v>-3.86</v>
      </c>
      <c r="F23" s="46"/>
      <c r="G23" s="45"/>
      <c r="H23" s="45"/>
      <c r="I23" s="45">
        <f>E23-D23</f>
        <v>-3.86</v>
      </c>
      <c r="J23" s="47"/>
    </row>
    <row r="24" spans="2:10" x14ac:dyDescent="0.2">
      <c r="B24" s="39" t="s">
        <v>110</v>
      </c>
      <c r="C24" s="93"/>
      <c r="D24" s="45">
        <v>15.6</v>
      </c>
      <c r="E24" s="45"/>
      <c r="F24" s="46"/>
      <c r="G24" s="45"/>
      <c r="H24" s="45">
        <v>15.6</v>
      </c>
      <c r="I24" s="45"/>
      <c r="J24" s="47"/>
    </row>
    <row r="25" spans="2:10" x14ac:dyDescent="0.2">
      <c r="B25" s="48" t="s">
        <v>80</v>
      </c>
      <c r="C25" s="95"/>
      <c r="D25" s="40"/>
      <c r="E25" s="45">
        <v>81.971000000000004</v>
      </c>
      <c r="F25" s="46"/>
      <c r="G25" s="45"/>
      <c r="H25" s="45"/>
      <c r="I25" s="45">
        <f>E25-D25</f>
        <v>81.971000000000004</v>
      </c>
      <c r="J25" s="47"/>
    </row>
    <row r="26" spans="2:10" x14ac:dyDescent="0.2">
      <c r="B26" s="48" t="s">
        <v>81</v>
      </c>
      <c r="C26" s="95"/>
      <c r="D26" s="40"/>
      <c r="E26" s="45">
        <v>-94.941000000000003</v>
      </c>
      <c r="F26" s="46"/>
      <c r="G26" s="45"/>
      <c r="H26" s="45"/>
      <c r="I26" s="45">
        <f>E26-D26</f>
        <v>-94.941000000000003</v>
      </c>
      <c r="J26" s="47"/>
    </row>
    <row r="27" spans="2:10" x14ac:dyDescent="0.2">
      <c r="B27" s="48" t="s">
        <v>82</v>
      </c>
      <c r="C27" s="95"/>
      <c r="D27" s="40"/>
      <c r="E27" s="45">
        <v>37.162999999999997</v>
      </c>
      <c r="F27" s="46"/>
      <c r="G27" s="45"/>
      <c r="H27" s="45"/>
      <c r="I27" s="45">
        <f>E27-D27</f>
        <v>37.162999999999997</v>
      </c>
      <c r="J27" s="47"/>
    </row>
    <row r="28" spans="2:10" x14ac:dyDescent="0.2">
      <c r="B28" s="48" t="s">
        <v>83</v>
      </c>
      <c r="C28" s="95"/>
      <c r="D28" s="40"/>
      <c r="E28" s="45">
        <v>-8.4838256487826094</v>
      </c>
      <c r="F28" s="46"/>
      <c r="G28" s="45"/>
      <c r="H28" s="45"/>
      <c r="I28" s="45">
        <f>E28-D28</f>
        <v>-8.4838256487826094</v>
      </c>
      <c r="J28" s="47"/>
    </row>
    <row r="29" spans="2:10" x14ac:dyDescent="0.2">
      <c r="B29" s="49" t="s">
        <v>84</v>
      </c>
      <c r="C29" s="95"/>
      <c r="D29" s="40"/>
      <c r="E29" s="45"/>
      <c r="F29" s="50">
        <v>-7.6</v>
      </c>
      <c r="G29" s="45"/>
      <c r="H29" s="45"/>
      <c r="I29" s="47"/>
      <c r="J29" s="51">
        <v>-7.6</v>
      </c>
    </row>
    <row r="30" spans="2:10" x14ac:dyDescent="0.2">
      <c r="B30" s="49" t="s">
        <v>85</v>
      </c>
      <c r="C30" s="95"/>
      <c r="D30" s="40"/>
      <c r="E30" s="45"/>
      <c r="F30" s="50">
        <v>123.38200000000001</v>
      </c>
      <c r="G30" s="45"/>
      <c r="H30" s="45"/>
      <c r="I30" s="47"/>
      <c r="J30" s="51">
        <f>F30</f>
        <v>123.38200000000001</v>
      </c>
    </row>
    <row r="31" spans="2:10" x14ac:dyDescent="0.2">
      <c r="B31" s="49" t="s">
        <v>111</v>
      </c>
      <c r="C31" s="95"/>
      <c r="D31" s="40"/>
      <c r="E31" s="45"/>
      <c r="F31" s="52">
        <v>56.440000000000005</v>
      </c>
      <c r="G31" s="45"/>
      <c r="H31" s="45"/>
      <c r="I31" s="47"/>
      <c r="J31" s="53">
        <f>F31</f>
        <v>56.440000000000005</v>
      </c>
    </row>
    <row r="32" spans="2:10" x14ac:dyDescent="0.2">
      <c r="B32" s="49" t="s">
        <v>86</v>
      </c>
      <c r="C32" s="95"/>
      <c r="D32" s="40"/>
      <c r="E32" s="45"/>
      <c r="F32" s="50">
        <v>47.4</v>
      </c>
      <c r="G32" s="45"/>
      <c r="H32" s="45"/>
      <c r="I32" s="47"/>
      <c r="J32" s="51">
        <f>F32</f>
        <v>47.4</v>
      </c>
    </row>
    <row r="33" spans="2:10" x14ac:dyDescent="0.2">
      <c r="B33" s="49" t="s">
        <v>87</v>
      </c>
      <c r="C33" s="95"/>
      <c r="D33" s="40"/>
      <c r="E33" s="45"/>
      <c r="F33" s="50">
        <v>-24.3</v>
      </c>
      <c r="G33" s="45"/>
      <c r="H33" s="45"/>
      <c r="I33" s="47"/>
      <c r="J33" s="51">
        <f>F33</f>
        <v>-24.3</v>
      </c>
    </row>
    <row r="34" spans="2:10" x14ac:dyDescent="0.2">
      <c r="B34" s="49" t="s">
        <v>88</v>
      </c>
      <c r="C34" s="95"/>
      <c r="D34" s="40"/>
      <c r="E34" s="45"/>
      <c r="F34" s="50">
        <v>12.286999999999999</v>
      </c>
      <c r="G34" s="45"/>
      <c r="H34" s="45"/>
      <c r="I34" s="47"/>
      <c r="J34" s="51">
        <f>F34</f>
        <v>12.286999999999999</v>
      </c>
    </row>
    <row r="35" spans="2:10" x14ac:dyDescent="0.2">
      <c r="B35" s="49" t="s">
        <v>89</v>
      </c>
      <c r="C35" s="95"/>
      <c r="D35" s="40"/>
      <c r="E35" s="45"/>
      <c r="F35" s="363">
        <v>15.924997827432399</v>
      </c>
      <c r="G35" s="45"/>
      <c r="H35" s="45"/>
      <c r="I35" s="47"/>
      <c r="J35" s="51">
        <f t="shared" ref="J35:J37" si="1">F35</f>
        <v>15.924997827432399</v>
      </c>
    </row>
    <row r="36" spans="2:10" x14ac:dyDescent="0.2">
      <c r="B36" s="49" t="s">
        <v>90</v>
      </c>
      <c r="C36" s="95"/>
      <c r="D36" s="40"/>
      <c r="E36" s="45"/>
      <c r="F36" s="54">
        <v>-69.5</v>
      </c>
      <c r="G36" s="45"/>
      <c r="H36" s="45"/>
      <c r="I36" s="47"/>
      <c r="J36" s="51">
        <f t="shared" si="1"/>
        <v>-69.5</v>
      </c>
    </row>
    <row r="37" spans="2:10" x14ac:dyDescent="0.2">
      <c r="B37" s="55" t="s">
        <v>91</v>
      </c>
      <c r="C37" s="96"/>
      <c r="D37" s="97"/>
      <c r="E37" s="56"/>
      <c r="F37" s="364">
        <v>-3.4</v>
      </c>
      <c r="G37" s="56"/>
      <c r="H37" s="56"/>
      <c r="I37" s="57"/>
      <c r="J37" s="58">
        <f t="shared" si="1"/>
        <v>-3.4</v>
      </c>
    </row>
    <row r="38" spans="2:10" x14ac:dyDescent="0.2">
      <c r="B38" s="126" t="s">
        <v>92</v>
      </c>
      <c r="C38" s="127">
        <f>SUM(C4:C9,C12:C37)</f>
        <v>323.49689999999998</v>
      </c>
      <c r="D38" s="128">
        <f t="shared" ref="D38:G38" si="2">SUM(D4:D9,D12:D37)</f>
        <v>1386.5370351668998</v>
      </c>
      <c r="E38" s="128">
        <f t="shared" si="2"/>
        <v>-29.897010648782615</v>
      </c>
      <c r="F38" s="129">
        <f>SUM(F4:F9,F12:F37)</f>
        <v>108.88781282743241</v>
      </c>
      <c r="G38" s="128">
        <f t="shared" si="2"/>
        <v>323.49689999999998</v>
      </c>
      <c r="H38" s="128">
        <f>SUM(H4:H9,H12:H37)</f>
        <v>1137.3090351668998</v>
      </c>
      <c r="I38" s="128">
        <f>SUM(I4:I9,I12:I37)</f>
        <v>-29.897010648782615</v>
      </c>
      <c r="J38" s="128">
        <f t="shared" ref="J38" si="3">SUM(J4:J9,J12:J37)</f>
        <v>108.88781282743241</v>
      </c>
    </row>
    <row r="39" spans="2:10" x14ac:dyDescent="0.2">
      <c r="H39" s="410" t="s">
        <v>57</v>
      </c>
      <c r="I39" s="410"/>
      <c r="J39" s="410"/>
    </row>
  </sheetData>
  <mergeCells count="3">
    <mergeCell ref="C2:F2"/>
    <mergeCell ref="G2:J2"/>
    <mergeCell ref="H39:J39"/>
  </mergeCells>
  <pageMargins left="0.7" right="0.7" top="0.75" bottom="0.75" header="0.3" footer="0.3"/>
  <ignoredErrors>
    <ignoredError sqref="C38:J38" formulaRange="1"/>
  </ignoredError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2"/>
  <dimension ref="A2:J29"/>
  <sheetViews>
    <sheetView showGridLines="0" workbookViewId="0">
      <selection activeCell="A40" sqref="A40"/>
    </sheetView>
  </sheetViews>
  <sheetFormatPr defaultRowHeight="12.75" x14ac:dyDescent="0.2"/>
  <cols>
    <col min="1" max="1" width="9.5703125" style="91" customWidth="1"/>
    <col min="2" max="2" width="36.5703125" style="91" bestFit="1" customWidth="1"/>
    <col min="3" max="16384" width="9.140625" style="91"/>
  </cols>
  <sheetData>
    <row r="2" spans="1:10" ht="13.5" thickBot="1" x14ac:dyDescent="0.25">
      <c r="B2" s="401" t="s">
        <v>200</v>
      </c>
      <c r="C2" s="401"/>
      <c r="D2" s="401"/>
      <c r="E2" s="401"/>
      <c r="F2" s="401"/>
      <c r="G2" s="401"/>
      <c r="H2" s="401"/>
      <c r="I2" s="401"/>
    </row>
    <row r="3" spans="1:10" ht="13.5" thickBot="1" x14ac:dyDescent="0.25">
      <c r="B3" s="365" t="s">
        <v>201</v>
      </c>
      <c r="C3" s="366">
        <v>2009</v>
      </c>
      <c r="D3" s="366">
        <v>2010</v>
      </c>
      <c r="E3" s="366">
        <v>2011</v>
      </c>
      <c r="F3" s="366">
        <v>2012</v>
      </c>
      <c r="G3" s="366">
        <v>2013</v>
      </c>
      <c r="H3" s="366">
        <v>2014</v>
      </c>
      <c r="I3" s="366">
        <v>2015</v>
      </c>
    </row>
    <row r="4" spans="1:10" ht="13.5" thickBot="1" x14ac:dyDescent="0.25">
      <c r="B4" s="367" t="s">
        <v>202</v>
      </c>
      <c r="C4" s="35">
        <v>895</v>
      </c>
      <c r="D4" s="35">
        <v>870</v>
      </c>
      <c r="E4" s="368">
        <v>1034</v>
      </c>
      <c r="F4" s="368">
        <v>1059</v>
      </c>
      <c r="G4" s="368">
        <v>1232</v>
      </c>
      <c r="H4" s="368">
        <v>1295</v>
      </c>
      <c r="I4" s="368">
        <v>2793</v>
      </c>
    </row>
    <row r="5" spans="1:10" x14ac:dyDescent="0.2">
      <c r="B5" s="337" t="s">
        <v>203</v>
      </c>
      <c r="C5" s="355">
        <v>585</v>
      </c>
      <c r="D5" s="355">
        <v>669</v>
      </c>
      <c r="E5" s="355">
        <v>877</v>
      </c>
      <c r="F5" s="355">
        <v>888</v>
      </c>
      <c r="G5" s="355">
        <v>983</v>
      </c>
      <c r="H5" s="355">
        <v>995</v>
      </c>
      <c r="I5" s="353">
        <v>2352</v>
      </c>
    </row>
    <row r="6" spans="1:10" ht="13.5" thickBot="1" x14ac:dyDescent="0.25">
      <c r="B6" s="369" t="s">
        <v>204</v>
      </c>
      <c r="C6" s="35">
        <v>310</v>
      </c>
      <c r="D6" s="35">
        <v>200</v>
      </c>
      <c r="E6" s="35">
        <v>156</v>
      </c>
      <c r="F6" s="35">
        <v>171</v>
      </c>
      <c r="G6" s="35">
        <v>249</v>
      </c>
      <c r="H6" s="35">
        <v>301</v>
      </c>
      <c r="I6" s="35">
        <v>441</v>
      </c>
    </row>
    <row r="7" spans="1:10" x14ac:dyDescent="0.2">
      <c r="B7" s="309"/>
      <c r="C7" s="309"/>
      <c r="D7" s="309"/>
      <c r="E7" s="309"/>
      <c r="F7" s="309"/>
      <c r="G7" s="309"/>
      <c r="H7" s="309"/>
      <c r="I7" s="332" t="s">
        <v>205</v>
      </c>
    </row>
    <row r="8" spans="1:10" x14ac:dyDescent="0.2">
      <c r="B8" s="309"/>
      <c r="C8" s="309"/>
      <c r="D8" s="309"/>
      <c r="E8" s="309"/>
      <c r="F8" s="309"/>
      <c r="G8" s="309"/>
      <c r="H8" s="309"/>
      <c r="I8" s="309"/>
    </row>
    <row r="9" spans="1:10" ht="13.5" thickBot="1" x14ac:dyDescent="0.25">
      <c r="B9" s="365" t="s">
        <v>206</v>
      </c>
      <c r="C9" s="366">
        <v>2009</v>
      </c>
      <c r="D9" s="366">
        <v>2010</v>
      </c>
      <c r="E9" s="366">
        <v>2011</v>
      </c>
      <c r="F9" s="366">
        <v>2012</v>
      </c>
      <c r="G9" s="366">
        <v>2013</v>
      </c>
      <c r="H9" s="366">
        <v>2014</v>
      </c>
      <c r="I9" s="366">
        <v>2015</v>
      </c>
    </row>
    <row r="10" spans="1:10" ht="13.5" thickBot="1" x14ac:dyDescent="0.25">
      <c r="B10" s="367" t="s">
        <v>203</v>
      </c>
      <c r="C10" s="35">
        <v>660</v>
      </c>
      <c r="D10" s="35">
        <v>650</v>
      </c>
      <c r="E10" s="35">
        <v>793</v>
      </c>
      <c r="F10" s="35">
        <v>805</v>
      </c>
      <c r="G10" s="35">
        <v>809</v>
      </c>
      <c r="H10" s="368">
        <v>1195</v>
      </c>
      <c r="I10" s="368">
        <v>2600</v>
      </c>
    </row>
    <row r="11" spans="1:10" x14ac:dyDescent="0.2">
      <c r="B11" s="337" t="s">
        <v>207</v>
      </c>
      <c r="C11" s="355">
        <v>528</v>
      </c>
      <c r="D11" s="355">
        <v>520</v>
      </c>
      <c r="E11" s="355">
        <v>648</v>
      </c>
      <c r="F11" s="355">
        <v>637</v>
      </c>
      <c r="G11" s="355">
        <v>576</v>
      </c>
      <c r="H11" s="353">
        <v>1097</v>
      </c>
      <c r="I11" s="353">
        <v>2157</v>
      </c>
    </row>
    <row r="12" spans="1:10" ht="13.5" thickBot="1" x14ac:dyDescent="0.25">
      <c r="B12" s="369" t="s">
        <v>208</v>
      </c>
      <c r="C12" s="35">
        <v>132</v>
      </c>
      <c r="D12" s="35">
        <v>130</v>
      </c>
      <c r="E12" s="35">
        <v>146</v>
      </c>
      <c r="F12" s="35">
        <v>168</v>
      </c>
      <c r="G12" s="35">
        <v>233</v>
      </c>
      <c r="H12" s="35">
        <v>98</v>
      </c>
      <c r="I12" s="35">
        <v>443</v>
      </c>
    </row>
    <row r="13" spans="1:10" x14ac:dyDescent="0.2">
      <c r="B13" s="394" t="s">
        <v>132</v>
      </c>
      <c r="C13" s="394"/>
      <c r="D13" s="394"/>
      <c r="E13" s="394"/>
      <c r="F13" s="394"/>
      <c r="G13" s="394"/>
      <c r="H13" s="394"/>
      <c r="I13" s="394"/>
    </row>
    <row r="14" spans="1:10" x14ac:dyDescent="0.2">
      <c r="A14" s="110"/>
      <c r="B14" s="370"/>
      <c r="C14" s="370"/>
      <c r="D14" s="370"/>
      <c r="E14" s="370"/>
      <c r="F14" s="370"/>
      <c r="G14" s="370"/>
      <c r="H14" s="370"/>
      <c r="I14" s="370"/>
      <c r="J14" s="110"/>
    </row>
    <row r="15" spans="1:10" ht="13.5" thickBot="1" x14ac:dyDescent="0.25">
      <c r="A15" s="110"/>
      <c r="B15" s="365" t="s">
        <v>236</v>
      </c>
      <c r="C15" s="371">
        <v>2009</v>
      </c>
      <c r="D15" s="371">
        <v>2010</v>
      </c>
      <c r="E15" s="371">
        <v>2011</v>
      </c>
      <c r="F15" s="371">
        <v>2012</v>
      </c>
      <c r="G15" s="371">
        <v>2013</v>
      </c>
      <c r="H15" s="371">
        <v>2014</v>
      </c>
      <c r="I15" s="371">
        <v>2015</v>
      </c>
      <c r="J15" s="110"/>
    </row>
    <row r="16" spans="1:10" ht="13.5" thickBot="1" x14ac:dyDescent="0.25">
      <c r="A16" s="110"/>
      <c r="B16" s="372" t="s">
        <v>203</v>
      </c>
      <c r="C16" s="373">
        <v>510</v>
      </c>
      <c r="D16" s="373">
        <v>834</v>
      </c>
      <c r="E16" s="374">
        <v>1019</v>
      </c>
      <c r="F16" s="373">
        <v>976</v>
      </c>
      <c r="G16" s="374">
        <v>1213</v>
      </c>
      <c r="H16" s="374">
        <v>1281</v>
      </c>
      <c r="I16" s="374">
        <v>2789</v>
      </c>
      <c r="J16" s="110"/>
    </row>
    <row r="17" spans="1:10" x14ac:dyDescent="0.2">
      <c r="A17" s="110"/>
      <c r="B17" s="375" t="s">
        <v>207</v>
      </c>
      <c r="C17" s="376">
        <v>385</v>
      </c>
      <c r="D17" s="376">
        <v>635</v>
      </c>
      <c r="E17" s="376">
        <v>873</v>
      </c>
      <c r="F17" s="376">
        <v>812</v>
      </c>
      <c r="G17" s="376">
        <v>970</v>
      </c>
      <c r="H17" s="376">
        <v>971</v>
      </c>
      <c r="I17" s="377">
        <v>2345</v>
      </c>
      <c r="J17" s="110"/>
    </row>
    <row r="18" spans="1:10" ht="13.5" thickBot="1" x14ac:dyDescent="0.25">
      <c r="A18" s="110"/>
      <c r="B18" s="378" t="s">
        <v>208</v>
      </c>
      <c r="C18" s="373">
        <v>124</v>
      </c>
      <c r="D18" s="373">
        <v>199</v>
      </c>
      <c r="E18" s="373">
        <v>146</v>
      </c>
      <c r="F18" s="373">
        <v>164</v>
      </c>
      <c r="G18" s="373">
        <v>243</v>
      </c>
      <c r="H18" s="373">
        <v>310</v>
      </c>
      <c r="I18" s="373">
        <v>443</v>
      </c>
      <c r="J18" s="110"/>
    </row>
    <row r="19" spans="1:10" x14ac:dyDescent="0.2">
      <c r="A19" s="110"/>
      <c r="B19" s="411" t="s">
        <v>132</v>
      </c>
      <c r="C19" s="411"/>
      <c r="D19" s="411"/>
      <c r="E19" s="411"/>
      <c r="F19" s="411"/>
      <c r="G19" s="411"/>
      <c r="H19" s="411"/>
      <c r="I19" s="411"/>
      <c r="J19" s="110"/>
    </row>
    <row r="20" spans="1:10" x14ac:dyDescent="0.2">
      <c r="A20" s="110"/>
      <c r="B20" s="370"/>
      <c r="C20" s="370"/>
      <c r="D20" s="370"/>
      <c r="E20" s="370"/>
      <c r="F20" s="370"/>
      <c r="G20" s="370"/>
      <c r="H20" s="370"/>
      <c r="I20" s="370"/>
      <c r="J20" s="110"/>
    </row>
    <row r="21" spans="1:10" ht="13.5" thickBot="1" x14ac:dyDescent="0.25">
      <c r="B21" s="365" t="s">
        <v>209</v>
      </c>
      <c r="C21" s="366">
        <v>2009</v>
      </c>
      <c r="D21" s="366">
        <v>2010</v>
      </c>
      <c r="E21" s="366">
        <v>2011</v>
      </c>
      <c r="F21" s="366">
        <v>2012</v>
      </c>
      <c r="G21" s="366">
        <v>2013</v>
      </c>
      <c r="H21" s="366">
        <v>2014</v>
      </c>
      <c r="I21" s="366">
        <v>2015</v>
      </c>
    </row>
    <row r="22" spans="1:10" ht="13.5" thickBot="1" x14ac:dyDescent="0.25">
      <c r="B22" s="367" t="s">
        <v>203</v>
      </c>
      <c r="C22" s="99">
        <f>C16-C10</f>
        <v>-150</v>
      </c>
      <c r="D22" s="99">
        <f t="shared" ref="D22:I22" si="0">D16-D10</f>
        <v>184</v>
      </c>
      <c r="E22" s="99">
        <f t="shared" si="0"/>
        <v>226</v>
      </c>
      <c r="F22" s="99">
        <f t="shared" si="0"/>
        <v>171</v>
      </c>
      <c r="G22" s="99">
        <f t="shared" si="0"/>
        <v>404</v>
      </c>
      <c r="H22" s="99">
        <f t="shared" si="0"/>
        <v>86</v>
      </c>
      <c r="I22" s="99">
        <f t="shared" si="0"/>
        <v>189</v>
      </c>
    </row>
    <row r="23" spans="1:10" x14ac:dyDescent="0.2">
      <c r="B23" s="337" t="s">
        <v>207</v>
      </c>
      <c r="C23" s="355">
        <f>C17-C11</f>
        <v>-143</v>
      </c>
      <c r="D23" s="355">
        <f t="shared" ref="D23:I24" si="1">D17-D11</f>
        <v>115</v>
      </c>
      <c r="E23" s="355">
        <f t="shared" si="1"/>
        <v>225</v>
      </c>
      <c r="F23" s="355">
        <f t="shared" si="1"/>
        <v>175</v>
      </c>
      <c r="G23" s="355">
        <f t="shared" si="1"/>
        <v>394</v>
      </c>
      <c r="H23" s="355">
        <f t="shared" si="1"/>
        <v>-126</v>
      </c>
      <c r="I23" s="355">
        <f t="shared" si="1"/>
        <v>188</v>
      </c>
    </row>
    <row r="24" spans="1:10" ht="13.5" thickBot="1" x14ac:dyDescent="0.25">
      <c r="B24" s="369" t="s">
        <v>208</v>
      </c>
      <c r="C24" s="35">
        <f>C18-C12</f>
        <v>-8</v>
      </c>
      <c r="D24" s="35">
        <f t="shared" si="1"/>
        <v>69</v>
      </c>
      <c r="E24" s="35">
        <f t="shared" si="1"/>
        <v>0</v>
      </c>
      <c r="F24" s="35">
        <f t="shared" si="1"/>
        <v>-4</v>
      </c>
      <c r="G24" s="35">
        <f t="shared" si="1"/>
        <v>10</v>
      </c>
      <c r="H24" s="35">
        <f t="shared" si="1"/>
        <v>212</v>
      </c>
      <c r="I24" s="35">
        <f t="shared" si="1"/>
        <v>0</v>
      </c>
    </row>
    <row r="26" spans="1:10" ht="13.5" thickBot="1" x14ac:dyDescent="0.25">
      <c r="B26" s="365" t="s">
        <v>237</v>
      </c>
      <c r="C26" s="366">
        <v>2009</v>
      </c>
      <c r="D26" s="366">
        <v>2010</v>
      </c>
      <c r="E26" s="366">
        <v>2011</v>
      </c>
      <c r="F26" s="366">
        <v>2012</v>
      </c>
      <c r="G26" s="366">
        <v>2013</v>
      </c>
      <c r="H26" s="366">
        <v>2014</v>
      </c>
      <c r="I26" s="366">
        <v>2015</v>
      </c>
    </row>
    <row r="27" spans="1:10" ht="13.5" thickBot="1" x14ac:dyDescent="0.25">
      <c r="B27" s="367" t="s">
        <v>203</v>
      </c>
      <c r="C27" s="99">
        <f>C16-C4</f>
        <v>-385</v>
      </c>
      <c r="D27" s="99">
        <f t="shared" ref="D27:I27" si="2">D16-D4</f>
        <v>-36</v>
      </c>
      <c r="E27" s="99">
        <f t="shared" si="2"/>
        <v>-15</v>
      </c>
      <c r="F27" s="99">
        <f t="shared" si="2"/>
        <v>-83</v>
      </c>
      <c r="G27" s="99">
        <f t="shared" si="2"/>
        <v>-19</v>
      </c>
      <c r="H27" s="99">
        <f t="shared" si="2"/>
        <v>-14</v>
      </c>
      <c r="I27" s="99">
        <f t="shared" si="2"/>
        <v>-4</v>
      </c>
    </row>
    <row r="28" spans="1:10" x14ac:dyDescent="0.2">
      <c r="B28" s="337" t="s">
        <v>207</v>
      </c>
      <c r="C28" s="355">
        <f t="shared" ref="C28:I28" si="3">C17-C5</f>
        <v>-200</v>
      </c>
      <c r="D28" s="355">
        <f t="shared" si="3"/>
        <v>-34</v>
      </c>
      <c r="E28" s="355">
        <f t="shared" si="3"/>
        <v>-4</v>
      </c>
      <c r="F28" s="355">
        <f t="shared" si="3"/>
        <v>-76</v>
      </c>
      <c r="G28" s="355">
        <f t="shared" si="3"/>
        <v>-13</v>
      </c>
      <c r="H28" s="355">
        <f t="shared" si="3"/>
        <v>-24</v>
      </c>
      <c r="I28" s="355">
        <f t="shared" si="3"/>
        <v>-7</v>
      </c>
    </row>
    <row r="29" spans="1:10" ht="13.5" thickBot="1" x14ac:dyDescent="0.25">
      <c r="B29" s="369" t="s">
        <v>208</v>
      </c>
      <c r="C29" s="35">
        <f t="shared" ref="C29:I29" si="4">C18-C6</f>
        <v>-186</v>
      </c>
      <c r="D29" s="35">
        <f t="shared" si="4"/>
        <v>-1</v>
      </c>
      <c r="E29" s="35">
        <f t="shared" si="4"/>
        <v>-10</v>
      </c>
      <c r="F29" s="35">
        <f t="shared" si="4"/>
        <v>-7</v>
      </c>
      <c r="G29" s="35">
        <f t="shared" si="4"/>
        <v>-6</v>
      </c>
      <c r="H29" s="35">
        <f t="shared" si="4"/>
        <v>9</v>
      </c>
      <c r="I29" s="35">
        <f t="shared" si="4"/>
        <v>2</v>
      </c>
    </row>
  </sheetData>
  <mergeCells count="3">
    <mergeCell ref="B2:I2"/>
    <mergeCell ref="B13:I13"/>
    <mergeCell ref="B19:I1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"/>
  <dimension ref="B2:R66"/>
  <sheetViews>
    <sheetView showGridLines="0" zoomScaleNormal="100" workbookViewId="0">
      <selection activeCell="C39" sqref="C39"/>
    </sheetView>
  </sheetViews>
  <sheetFormatPr defaultRowHeight="12.75" x14ac:dyDescent="0.2"/>
  <cols>
    <col min="1" max="1" width="9.140625" style="91"/>
    <col min="2" max="2" width="11.85546875" style="91" bestFit="1" customWidth="1"/>
    <col min="3" max="3" width="74.28515625" style="91" bestFit="1" customWidth="1"/>
    <col min="4" max="4" width="9.5703125" style="91" customWidth="1"/>
    <col min="5" max="5" width="10.140625" style="91" customWidth="1"/>
    <col min="6" max="6" width="11.28515625" style="91" customWidth="1"/>
    <col min="7" max="7" width="10" style="91" customWidth="1"/>
    <col min="8" max="8" width="13.7109375" style="91" customWidth="1"/>
    <col min="9" max="9" width="19" style="91" bestFit="1" customWidth="1"/>
    <col min="10" max="10" width="18.140625" style="91" bestFit="1" customWidth="1"/>
    <col min="11" max="13" width="9.140625" style="91"/>
    <col min="14" max="14" width="14.7109375" style="91" customWidth="1"/>
    <col min="15" max="15" width="86" style="91" customWidth="1"/>
    <col min="16" max="16" width="9.28515625" style="91" customWidth="1"/>
    <col min="17" max="16384" width="9.140625" style="91"/>
  </cols>
  <sheetData>
    <row r="2" spans="2:18" ht="13.5" thickBot="1" x14ac:dyDescent="0.25">
      <c r="B2" s="37" t="s">
        <v>216</v>
      </c>
      <c r="G2" s="156"/>
      <c r="H2" s="61" t="s">
        <v>211</v>
      </c>
      <c r="N2" s="156"/>
      <c r="O2" s="156"/>
      <c r="P2" s="156"/>
      <c r="Q2" s="156"/>
      <c r="R2" s="156"/>
    </row>
    <row r="3" spans="2:18" ht="18" customHeight="1" thickTop="1" thickBot="1" x14ac:dyDescent="0.25">
      <c r="B3" s="6"/>
      <c r="C3" s="7" t="s">
        <v>1</v>
      </c>
      <c r="D3" s="8">
        <v>2013</v>
      </c>
      <c r="E3" s="8">
        <v>2014</v>
      </c>
      <c r="F3" s="72">
        <v>2015</v>
      </c>
      <c r="G3" s="156"/>
      <c r="N3" s="156"/>
      <c r="O3" s="156"/>
      <c r="P3" s="156"/>
      <c r="Q3" s="156"/>
      <c r="R3" s="156"/>
    </row>
    <row r="4" spans="2:18" x14ac:dyDescent="0.2">
      <c r="B4" s="9">
        <v>1</v>
      </c>
      <c r="C4" s="10" t="s">
        <v>2</v>
      </c>
      <c r="D4" s="11">
        <v>-0.5</v>
      </c>
      <c r="E4" s="11">
        <v>-0.5</v>
      </c>
      <c r="F4" s="73">
        <v>-0.5</v>
      </c>
      <c r="G4" s="156"/>
      <c r="H4" s="156"/>
      <c r="N4" s="156"/>
      <c r="O4" s="156"/>
      <c r="P4" s="156"/>
      <c r="Q4" s="156"/>
      <c r="R4" s="156"/>
    </row>
    <row r="5" spans="2:18" x14ac:dyDescent="0.2">
      <c r="B5" s="12">
        <v>2</v>
      </c>
      <c r="C5" s="13" t="s">
        <v>3</v>
      </c>
      <c r="D5" s="14">
        <f>ŠS!D7</f>
        <v>-2.6272791880372712</v>
      </c>
      <c r="E5" s="14">
        <f>ŠS!E7</f>
        <v>-2.5100034406878762</v>
      </c>
      <c r="F5" s="74">
        <f>ŠS!F7</f>
        <v>-2.3934375761848621</v>
      </c>
      <c r="G5" s="156"/>
      <c r="J5" s="163"/>
      <c r="N5" s="156"/>
      <c r="O5" s="156"/>
      <c r="P5" s="156"/>
      <c r="Q5" s="156"/>
      <c r="R5" s="156"/>
    </row>
    <row r="6" spans="2:18" ht="26.25" customHeight="1" x14ac:dyDescent="0.2">
      <c r="B6" s="12" t="s">
        <v>4</v>
      </c>
      <c r="C6" s="15" t="s">
        <v>5</v>
      </c>
      <c r="D6" s="16" t="str">
        <f>IF(D5&lt;D4,"nie","áno")</f>
        <v>nie</v>
      </c>
      <c r="E6" s="16" t="str">
        <f>IF(E5&lt;E4,"nie","áno")</f>
        <v>nie</v>
      </c>
      <c r="F6" s="74" t="str">
        <f>IF(F5&lt;F4,"nie","áno")</f>
        <v>nie</v>
      </c>
      <c r="G6" s="156"/>
      <c r="H6" s="156"/>
      <c r="J6" s="163"/>
      <c r="N6" s="156"/>
      <c r="O6" s="156"/>
      <c r="P6" s="156"/>
      <c r="Q6" s="156"/>
      <c r="R6" s="156"/>
    </row>
    <row r="7" spans="2:18" ht="13.5" thickBot="1" x14ac:dyDescent="0.25">
      <c r="B7" s="12">
        <v>4</v>
      </c>
      <c r="C7" s="13" t="s">
        <v>6</v>
      </c>
      <c r="D7" s="14">
        <f>ŠS!D9</f>
        <v>-3.5740212140536101</v>
      </c>
      <c r="E7" s="14">
        <f>ŠS!E9</f>
        <v>-2.8055159105402074</v>
      </c>
      <c r="F7" s="75">
        <f>ŠS!F9</f>
        <v>-2.0370106070268048</v>
      </c>
      <c r="G7" s="156"/>
      <c r="H7" s="156"/>
      <c r="J7" s="163"/>
      <c r="N7" s="156"/>
      <c r="O7" s="156"/>
      <c r="P7" s="156"/>
      <c r="Q7" s="156"/>
      <c r="R7" s="156"/>
    </row>
    <row r="8" spans="2:18" ht="14.25" thickTop="1" thickBot="1" x14ac:dyDescent="0.25">
      <c r="B8" s="17"/>
      <c r="C8" s="18" t="s">
        <v>7</v>
      </c>
      <c r="D8" s="19"/>
      <c r="E8" s="19"/>
      <c r="F8" s="76"/>
      <c r="G8" s="156"/>
      <c r="H8" s="156"/>
      <c r="J8" s="163"/>
      <c r="N8" s="156"/>
      <c r="O8" s="156"/>
      <c r="P8" s="156"/>
      <c r="Q8" s="156"/>
      <c r="R8" s="156"/>
    </row>
    <row r="9" spans="2:18" ht="13.5" thickTop="1" x14ac:dyDescent="0.2">
      <c r="B9" s="20" t="s">
        <v>143</v>
      </c>
      <c r="C9" s="13" t="s">
        <v>8</v>
      </c>
      <c r="D9" s="14">
        <f>(D5-D7)</f>
        <v>0.94674202601633883</v>
      </c>
      <c r="E9" s="14">
        <f>(E5-E7)</f>
        <v>0.29551246985233126</v>
      </c>
      <c r="F9" s="77">
        <f>(F5-F7)</f>
        <v>-0.35642696915805727</v>
      </c>
      <c r="G9" s="156"/>
      <c r="H9" s="156"/>
      <c r="J9" s="163"/>
      <c r="N9" s="156"/>
      <c r="O9" s="156"/>
      <c r="P9" s="156"/>
      <c r="Q9" s="156"/>
      <c r="R9" s="156"/>
    </row>
    <row r="10" spans="2:18" ht="39" thickBot="1" x14ac:dyDescent="0.25">
      <c r="B10" s="21" t="s">
        <v>9</v>
      </c>
      <c r="C10" s="22" t="s">
        <v>10</v>
      </c>
      <c r="D10" s="23" t="str">
        <f>IF(D9&gt;-0.049,"V súlade",IF(D9&gt;=-0.5,"Nevýrazná odchýlka","Výrazná odchýlka"))</f>
        <v>V súlade</v>
      </c>
      <c r="E10" s="23" t="str">
        <f>IF(E9&gt;-0.049,"V súlade",IF(E9&gt;=-0.5,"Nevýrazná odchýlka","Výrazná odchýlka"))</f>
        <v>V súlade</v>
      </c>
      <c r="F10" s="78" t="str">
        <f>IF(F9&gt;-0.049,"V súlade",IF(F9&gt;=-0.5,"Nevýrazná odchýlka*","Výrazná odchýlka*"))</f>
        <v>Nevýrazná odchýlka*</v>
      </c>
      <c r="G10" s="156"/>
      <c r="H10" s="156"/>
      <c r="J10" s="163"/>
      <c r="N10" s="156"/>
      <c r="O10" s="156"/>
      <c r="P10" s="156"/>
      <c r="Q10" s="156"/>
      <c r="R10" s="156"/>
    </row>
    <row r="11" spans="2:18" ht="17.25" customHeight="1" thickBot="1" x14ac:dyDescent="0.25">
      <c r="B11" s="381" t="s">
        <v>11</v>
      </c>
      <c r="C11" s="382"/>
      <c r="D11" s="382"/>
      <c r="E11" s="382"/>
      <c r="F11" s="383"/>
      <c r="G11" s="156"/>
      <c r="H11" s="156"/>
      <c r="J11" s="163"/>
      <c r="N11" s="156"/>
      <c r="O11" s="156"/>
      <c r="P11" s="156"/>
      <c r="Q11" s="156"/>
      <c r="R11" s="156"/>
    </row>
    <row r="12" spans="2:18" ht="17.25" customHeight="1" thickBot="1" x14ac:dyDescent="0.25">
      <c r="B12" s="24"/>
      <c r="C12" s="384" t="s">
        <v>12</v>
      </c>
      <c r="D12" s="385"/>
      <c r="E12" s="385"/>
      <c r="F12" s="386"/>
      <c r="G12" s="156"/>
      <c r="H12" s="156"/>
      <c r="J12" s="163"/>
      <c r="N12" s="156"/>
      <c r="O12" s="156"/>
      <c r="P12" s="156"/>
      <c r="Q12" s="156"/>
      <c r="R12" s="156"/>
    </row>
    <row r="13" spans="2:18" ht="13.5" thickTop="1" x14ac:dyDescent="0.2">
      <c r="B13" s="12">
        <v>6</v>
      </c>
      <c r="C13" s="13" t="s">
        <v>13</v>
      </c>
      <c r="D13" s="14">
        <f>VP!D27</f>
        <v>0.66476721935037053</v>
      </c>
      <c r="E13" s="14">
        <f>VP!E27</f>
        <v>-0.42900825349097343</v>
      </c>
      <c r="F13" s="77">
        <f>VP!F27</f>
        <v>-2.2534213545286499</v>
      </c>
      <c r="G13" s="156"/>
      <c r="H13" s="156"/>
      <c r="J13" s="163"/>
      <c r="N13" s="156"/>
      <c r="O13" s="156"/>
      <c r="P13" s="156"/>
      <c r="Q13" s="156"/>
      <c r="R13" s="156"/>
    </row>
    <row r="14" spans="2:18" x14ac:dyDescent="0.2">
      <c r="B14" s="25" t="s">
        <v>14</v>
      </c>
      <c r="C14" s="26" t="s">
        <v>15</v>
      </c>
      <c r="D14" s="27">
        <f>D13</f>
        <v>0.66476721935037053</v>
      </c>
      <c r="E14" s="27">
        <f>VP!E29</f>
        <v>0.2357589658593971</v>
      </c>
      <c r="F14" s="79">
        <f>VP!F29</f>
        <v>-2.0176623886692528</v>
      </c>
      <c r="G14" s="156"/>
      <c r="H14" s="156"/>
      <c r="J14" s="163"/>
      <c r="N14" s="156"/>
      <c r="O14" s="156"/>
      <c r="P14" s="156"/>
      <c r="Q14" s="156"/>
      <c r="R14" s="156"/>
    </row>
    <row r="15" spans="2:18" ht="39" thickBot="1" x14ac:dyDescent="0.25">
      <c r="B15" s="21" t="s">
        <v>16</v>
      </c>
      <c r="C15" s="22" t="s">
        <v>17</v>
      </c>
      <c r="D15" s="23" t="str">
        <f>IF(D14&gt;-0.049,"V súlade",IF(D14&gt;=-0.5,"Nevýrazná odchýlka","Výrazná odchýlka"))</f>
        <v>V súlade</v>
      </c>
      <c r="E15" s="23" t="str">
        <f>IF(E14&gt;-0.049,"V súlade",IF(E14&gt;=-0.5,"Nevýrazná odchýlka","Výrazná odchýlka"))</f>
        <v>V súlade</v>
      </c>
      <c r="F15" s="78" t="str">
        <f>IF(F14&gt;-0.049,"V súlade",IF(F14&gt;=-0.5,"Nevýrazná odchýlka*","Výrazná odchýlka*"))</f>
        <v>Výrazná odchýlka*</v>
      </c>
      <c r="G15" s="156"/>
      <c r="H15" s="156"/>
      <c r="J15" s="163"/>
      <c r="N15" s="156"/>
      <c r="O15" s="156"/>
      <c r="P15" s="156"/>
      <c r="Q15" s="156"/>
      <c r="R15" s="156"/>
    </row>
    <row r="16" spans="2:18" ht="17.25" customHeight="1" thickBot="1" x14ac:dyDescent="0.25">
      <c r="B16" s="381" t="s">
        <v>11</v>
      </c>
      <c r="C16" s="382"/>
      <c r="D16" s="382"/>
      <c r="E16" s="382"/>
      <c r="F16" s="383"/>
      <c r="G16" s="156"/>
      <c r="H16" s="156"/>
      <c r="J16" s="163"/>
      <c r="N16" s="156"/>
      <c r="O16" s="156"/>
      <c r="P16" s="156"/>
      <c r="Q16" s="156"/>
      <c r="R16" s="156"/>
    </row>
    <row r="17" spans="2:18" ht="17.25" customHeight="1" thickBot="1" x14ac:dyDescent="0.25">
      <c r="B17" s="28"/>
      <c r="C17" s="387" t="s">
        <v>18</v>
      </c>
      <c r="D17" s="387"/>
      <c r="E17" s="387"/>
      <c r="F17" s="386"/>
      <c r="G17" s="156"/>
      <c r="H17" s="156"/>
      <c r="J17" s="163"/>
      <c r="N17" s="156"/>
      <c r="O17" s="156"/>
      <c r="P17" s="156"/>
      <c r="Q17" s="156"/>
      <c r="R17" s="156"/>
    </row>
    <row r="18" spans="2:18" x14ac:dyDescent="0.2">
      <c r="B18" s="29">
        <v>8</v>
      </c>
      <c r="C18" s="30" t="s">
        <v>19</v>
      </c>
      <c r="D18" s="31">
        <f>ŠS_faktory!C10</f>
        <v>0.94674202601633883</v>
      </c>
      <c r="E18" s="31">
        <f>ŠS_faktory!D10</f>
        <v>0.29551246985233126</v>
      </c>
      <c r="F18" s="137">
        <f>ŠS_faktory!F10</f>
        <v>3.3733325466596131E-2</v>
      </c>
      <c r="G18" s="156"/>
      <c r="H18" s="156"/>
      <c r="J18" s="163"/>
      <c r="N18" s="156"/>
      <c r="O18" s="156"/>
      <c r="P18" s="156"/>
      <c r="Q18" s="156"/>
      <c r="R18" s="156"/>
    </row>
    <row r="19" spans="2:18" ht="13.5" thickBot="1" x14ac:dyDescent="0.25">
      <c r="B19" s="25">
        <v>9</v>
      </c>
      <c r="C19" s="26" t="s">
        <v>20</v>
      </c>
      <c r="D19" s="27">
        <f>VP_faktory!C10</f>
        <v>0</v>
      </c>
      <c r="E19" s="27">
        <f>VP_faktory!D10</f>
        <v>1.3469190935993796</v>
      </c>
      <c r="F19" s="80">
        <f>VP_faktory!E10</f>
        <v>-0.29771708586600476</v>
      </c>
      <c r="G19" s="156"/>
      <c r="H19" s="156"/>
      <c r="J19" s="163"/>
      <c r="N19" s="156"/>
      <c r="O19" s="156"/>
      <c r="P19" s="156"/>
      <c r="Q19" s="156"/>
      <c r="R19" s="156"/>
    </row>
    <row r="20" spans="2:18" ht="26.25" thickBot="1" x14ac:dyDescent="0.25">
      <c r="B20" s="32" t="s">
        <v>21</v>
      </c>
      <c r="C20" s="33" t="s">
        <v>22</v>
      </c>
      <c r="D20" s="23" t="str">
        <f>IF(AND(D18&gt;-0.049,D19&gt;-0.049),"V súlade",IF(OR(D18&gt;=-0.5,D19&gt;=-0.5),"Nevýrazné odchýlenie","Výrazné odchýlenie"))</f>
        <v>V súlade</v>
      </c>
      <c r="E20" s="23" t="str">
        <f>IF(AND(E18&gt;-0.049,E19&gt;-0.049),"V súlade",IF(OR(E18&gt;=-0.5,E19&gt;=-0.5),"Nevýrazné odchýlenie","Výrazné odchýlenie"))</f>
        <v>V súlade</v>
      </c>
      <c r="F20" s="81" t="str">
        <f>IF(AND(F18&gt;-0.049,F19&gt;-0.049),"V súlade",IF(OR(F18&gt;=-0.5,F19&gt;=-0.5),"Nevýrazné odchýlenie","Výrazné odchýlenie"))</f>
        <v>Nevýrazné odchýlenie</v>
      </c>
      <c r="G20" s="156"/>
      <c r="H20" s="156"/>
      <c r="J20" s="163"/>
      <c r="N20" s="156"/>
      <c r="O20" s="156"/>
      <c r="P20" s="156"/>
      <c r="Q20" s="156"/>
      <c r="R20" s="156"/>
    </row>
    <row r="21" spans="2:18" x14ac:dyDescent="0.2">
      <c r="E21" s="388" t="s">
        <v>57</v>
      </c>
      <c r="F21" s="388"/>
      <c r="G21" s="164"/>
      <c r="H21" s="164"/>
      <c r="J21" s="163"/>
      <c r="N21" s="156"/>
      <c r="O21" s="156"/>
      <c r="P21" s="156"/>
      <c r="Q21" s="156"/>
      <c r="R21" s="156"/>
    </row>
    <row r="23" spans="2:18" ht="13.5" thickBot="1" x14ac:dyDescent="0.25">
      <c r="B23" s="61" t="s">
        <v>212</v>
      </c>
    </row>
    <row r="24" spans="2:18" x14ac:dyDescent="0.2">
      <c r="B24" s="117" t="s">
        <v>183</v>
      </c>
      <c r="C24" s="117"/>
      <c r="D24" s="119" t="s">
        <v>187</v>
      </c>
      <c r="E24" s="118" t="s">
        <v>184</v>
      </c>
      <c r="F24" s="118"/>
      <c r="G24" s="121" t="s">
        <v>181</v>
      </c>
      <c r="H24" s="122" t="s">
        <v>185</v>
      </c>
      <c r="I24" s="122"/>
      <c r="J24" s="120"/>
    </row>
    <row r="25" spans="2:18" x14ac:dyDescent="0.2">
      <c r="B25" s="165" t="s">
        <v>114</v>
      </c>
      <c r="C25" s="165"/>
      <c r="D25" s="166"/>
      <c r="E25" s="166"/>
      <c r="F25" s="166"/>
      <c r="G25" s="167"/>
      <c r="H25" s="168" t="s">
        <v>188</v>
      </c>
      <c r="I25" s="168" t="s">
        <v>145</v>
      </c>
      <c r="J25" s="169" t="s">
        <v>197</v>
      </c>
    </row>
    <row r="26" spans="2:18" x14ac:dyDescent="0.2">
      <c r="B26" s="114" t="s">
        <v>2</v>
      </c>
      <c r="C26" s="114"/>
      <c r="D26" s="134">
        <v>-0.5</v>
      </c>
      <c r="E26" s="134">
        <f>F4</f>
        <v>-0.5</v>
      </c>
      <c r="F26" s="134"/>
      <c r="G26" s="170">
        <f>E26-D26</f>
        <v>0</v>
      </c>
      <c r="H26" s="171"/>
      <c r="I26" s="134"/>
      <c r="J26" s="172"/>
    </row>
    <row r="27" spans="2:18" x14ac:dyDescent="0.2">
      <c r="B27" s="115" t="s">
        <v>3</v>
      </c>
      <c r="C27" s="115"/>
      <c r="D27" s="134">
        <v>-2.5465002246383737</v>
      </c>
      <c r="E27" s="134">
        <f>F5</f>
        <v>-2.3934375761848621</v>
      </c>
      <c r="F27" s="134"/>
      <c r="G27" s="170">
        <f>E27-D27</f>
        <v>0.15306264845351158</v>
      </c>
      <c r="H27" s="173">
        <f>ŠS!$F4-'Celkove hodnotenie'!G39</f>
        <v>0.26203614363657834</v>
      </c>
      <c r="I27" s="173">
        <f>(ŠS!F5-'Celkove hodnotenie'!G40)*-1</f>
        <v>-6.315000139159227E-2</v>
      </c>
      <c r="J27" s="174">
        <f>(ŠS!$F6-'Celkove hodnotenie'!G41)*-1</f>
        <v>-4.5823493791474379E-2</v>
      </c>
    </row>
    <row r="28" spans="2:18" x14ac:dyDescent="0.2">
      <c r="B28" s="114" t="s">
        <v>6</v>
      </c>
      <c r="C28" s="114"/>
      <c r="D28" s="134">
        <v>-1.9796362379608983</v>
      </c>
      <c r="E28" s="134">
        <f>F7</f>
        <v>-2.0370106070268048</v>
      </c>
      <c r="F28" s="134"/>
      <c r="G28" s="170">
        <f>E28-D28</f>
        <v>-5.7374369065906539E-2</v>
      </c>
      <c r="H28" s="134"/>
      <c r="I28" s="134"/>
      <c r="J28" s="172"/>
    </row>
    <row r="29" spans="2:18" x14ac:dyDescent="0.2">
      <c r="B29" s="114" t="s">
        <v>8</v>
      </c>
      <c r="C29" s="114"/>
      <c r="D29" s="134">
        <v>-0.5668639866774754</v>
      </c>
      <c r="E29" s="134">
        <f>F9</f>
        <v>-0.35642696915805727</v>
      </c>
      <c r="F29" s="134"/>
      <c r="G29" s="170">
        <f>E29-D29</f>
        <v>0.21043701751941812</v>
      </c>
      <c r="H29" s="134"/>
      <c r="I29" s="134"/>
      <c r="J29" s="172"/>
    </row>
    <row r="30" spans="2:18" x14ac:dyDescent="0.2">
      <c r="B30" s="165" t="s">
        <v>113</v>
      </c>
      <c r="C30" s="165"/>
      <c r="D30" s="175"/>
      <c r="E30" s="175"/>
      <c r="F30" s="175"/>
      <c r="G30" s="176"/>
      <c r="H30" s="175"/>
      <c r="I30" s="175"/>
      <c r="J30" s="177"/>
    </row>
    <row r="31" spans="2:18" x14ac:dyDescent="0.2">
      <c r="B31" s="114" t="s">
        <v>13</v>
      </c>
      <c r="C31" s="114"/>
      <c r="D31" s="134">
        <v>-2.0486390661493874</v>
      </c>
      <c r="E31" s="134">
        <f>F13</f>
        <v>-2.2534213545286499</v>
      </c>
      <c r="F31" s="134"/>
      <c r="G31" s="170">
        <f>E31-D31</f>
        <v>-0.20478228837926249</v>
      </c>
      <c r="H31" s="134"/>
      <c r="I31" s="134"/>
      <c r="J31" s="172"/>
    </row>
    <row r="32" spans="2:18" x14ac:dyDescent="0.2">
      <c r="B32" s="114" t="s">
        <v>15</v>
      </c>
      <c r="C32" s="114"/>
      <c r="D32" s="134">
        <v>-2.2751831033889012</v>
      </c>
      <c r="E32" s="134">
        <f>F14</f>
        <v>-2.0176623886692528</v>
      </c>
      <c r="F32" s="134"/>
      <c r="G32" s="170">
        <f>E32-D32</f>
        <v>0.25752071471964832</v>
      </c>
      <c r="H32" s="134"/>
      <c r="I32" s="134"/>
      <c r="J32" s="172"/>
    </row>
    <row r="33" spans="2:10" x14ac:dyDescent="0.2">
      <c r="B33" s="165" t="s">
        <v>182</v>
      </c>
      <c r="C33" s="165"/>
      <c r="D33" s="175"/>
      <c r="E33" s="175"/>
      <c r="F33" s="175"/>
      <c r="G33" s="176"/>
      <c r="H33" s="175"/>
      <c r="I33" s="175"/>
      <c r="J33" s="177"/>
    </row>
    <row r="34" spans="2:10" x14ac:dyDescent="0.2">
      <c r="B34" s="114" t="s">
        <v>19</v>
      </c>
      <c r="C34" s="114"/>
      <c r="D34" s="134">
        <v>-1.0507860605110775E-2</v>
      </c>
      <c r="E34" s="134">
        <f>F18</f>
        <v>3.3733325466596131E-2</v>
      </c>
      <c r="F34" s="134"/>
      <c r="G34" s="170">
        <f>E34-D34</f>
        <v>4.4241186071706906E-2</v>
      </c>
      <c r="H34" s="134"/>
      <c r="I34" s="134"/>
      <c r="J34" s="172"/>
    </row>
    <row r="35" spans="2:10" ht="13.5" thickBot="1" x14ac:dyDescent="0.25">
      <c r="B35" s="116" t="s">
        <v>20</v>
      </c>
      <c r="C35" s="116"/>
      <c r="D35" s="178">
        <v>-0.46084712668222527</v>
      </c>
      <c r="E35" s="178">
        <f>F19</f>
        <v>-0.29771708586600476</v>
      </c>
      <c r="F35" s="178"/>
      <c r="G35" s="179">
        <f>E35-D35</f>
        <v>0.16313004081622051</v>
      </c>
      <c r="H35" s="180"/>
      <c r="I35" s="180"/>
      <c r="J35" s="181"/>
    </row>
    <row r="37" spans="2:10" x14ac:dyDescent="0.2">
      <c r="B37" s="61" t="s">
        <v>213</v>
      </c>
    </row>
    <row r="38" spans="2:10" x14ac:dyDescent="0.2">
      <c r="B38" s="182"/>
      <c r="C38" s="183"/>
      <c r="D38" s="183">
        <v>2012</v>
      </c>
      <c r="E38" s="183">
        <v>2013</v>
      </c>
      <c r="F38" s="183">
        <v>2014</v>
      </c>
      <c r="G38" s="184">
        <v>2015</v>
      </c>
    </row>
    <row r="39" spans="2:10" x14ac:dyDescent="0.2">
      <c r="B39" s="185" t="s">
        <v>23</v>
      </c>
      <c r="C39" s="171"/>
      <c r="D39" s="186">
        <v>-4.3080348947237681</v>
      </c>
      <c r="E39" s="186">
        <v>-2.6970740523800814</v>
      </c>
      <c r="F39" s="186">
        <v>-2.6946832785831276</v>
      </c>
      <c r="G39" s="187">
        <v>-2.9694016379719343</v>
      </c>
    </row>
    <row r="40" spans="2:10" x14ac:dyDescent="0.2">
      <c r="B40" s="185" t="s">
        <v>24</v>
      </c>
      <c r="C40" s="171"/>
      <c r="D40" s="186">
        <v>-0.25511071898901072</v>
      </c>
      <c r="E40" s="186">
        <v>-0.59865437679070654</v>
      </c>
      <c r="F40" s="186">
        <v>-0.39442629960825965</v>
      </c>
      <c r="G40" s="187">
        <v>-0.1923414984521824</v>
      </c>
    </row>
    <row r="41" spans="2:10" x14ac:dyDescent="0.2">
      <c r="B41" s="185" t="s">
        <v>25</v>
      </c>
      <c r="C41" s="171"/>
      <c r="D41" s="186">
        <v>0.14616641916748851</v>
      </c>
      <c r="E41" s="186">
        <v>0.21347845957624001</v>
      </c>
      <c r="F41" s="186">
        <v>0.12587118835389655</v>
      </c>
      <c r="G41" s="187">
        <v>-0.23055991488137828</v>
      </c>
    </row>
    <row r="42" spans="2:10" x14ac:dyDescent="0.2">
      <c r="B42" s="188" t="s">
        <v>26</v>
      </c>
      <c r="C42" s="189"/>
      <c r="D42" s="190">
        <v>-4.1990905949022457</v>
      </c>
      <c r="E42" s="190">
        <v>-2.3118981351656149</v>
      </c>
      <c r="F42" s="190">
        <v>-2.4261281673287645</v>
      </c>
      <c r="G42" s="191">
        <v>-2.5465002246383737</v>
      </c>
    </row>
    <row r="60" spans="4:10" x14ac:dyDescent="0.2">
      <c r="J60" s="192"/>
    </row>
    <row r="63" spans="4:10" x14ac:dyDescent="0.2">
      <c r="H63" s="193"/>
    </row>
    <row r="64" spans="4:10" x14ac:dyDescent="0.2">
      <c r="D64" s="194"/>
      <c r="E64" s="194"/>
      <c r="F64" s="194"/>
      <c r="G64" s="194"/>
    </row>
    <row r="65" spans="4:7" x14ac:dyDescent="0.2">
      <c r="D65" s="194"/>
      <c r="E65" s="194"/>
      <c r="F65" s="194"/>
      <c r="G65" s="194"/>
    </row>
    <row r="66" spans="4:7" x14ac:dyDescent="0.2">
      <c r="D66" s="194"/>
      <c r="E66" s="194"/>
      <c r="F66" s="194"/>
      <c r="G66" s="194"/>
    </row>
  </sheetData>
  <mergeCells count="5">
    <mergeCell ref="B11:F11"/>
    <mergeCell ref="C12:F12"/>
    <mergeCell ref="B16:F16"/>
    <mergeCell ref="C17:F17"/>
    <mergeCell ref="E21:F2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"/>
  <dimension ref="B2:Q43"/>
  <sheetViews>
    <sheetView showGridLines="0" zoomScaleNormal="100" workbookViewId="0">
      <selection activeCell="C39" sqref="C39"/>
    </sheetView>
  </sheetViews>
  <sheetFormatPr defaultRowHeight="12.75" x14ac:dyDescent="0.2"/>
  <cols>
    <col min="1" max="1" width="13.42578125" style="91" customWidth="1"/>
    <col min="2" max="2" width="34" style="91" customWidth="1"/>
    <col min="3" max="3" width="10.140625" style="91" customWidth="1"/>
    <col min="4" max="6" width="10.5703125" style="91" bestFit="1" customWidth="1"/>
    <col min="7" max="16" width="9.140625" style="91"/>
    <col min="17" max="17" width="54.28515625" style="91" bestFit="1" customWidth="1"/>
    <col min="18" max="16384" width="9.140625" style="91"/>
  </cols>
  <sheetData>
    <row r="2" spans="2:17" ht="15.75" customHeight="1" thickBot="1" x14ac:dyDescent="0.25">
      <c r="B2" s="389" t="s">
        <v>217</v>
      </c>
      <c r="C2" s="389"/>
      <c r="D2" s="389"/>
      <c r="E2" s="389"/>
      <c r="F2" s="389"/>
      <c r="G2" s="161"/>
      <c r="H2" s="161"/>
    </row>
    <row r="3" spans="2:17" ht="13.5" thickBot="1" x14ac:dyDescent="0.25">
      <c r="B3" s="35"/>
      <c r="C3" s="36">
        <v>2012</v>
      </c>
      <c r="D3" s="36">
        <v>2013</v>
      </c>
      <c r="E3" s="36">
        <v>2014</v>
      </c>
      <c r="F3" s="36">
        <v>2015</v>
      </c>
    </row>
    <row r="4" spans="2:17" ht="17.25" customHeight="1" x14ac:dyDescent="0.2">
      <c r="B4" s="195" t="s">
        <v>23</v>
      </c>
      <c r="C4" s="196">
        <f>C33</f>
        <v>-4.3448863330716918</v>
      </c>
      <c r="D4" s="196">
        <f>D33</f>
        <v>-2.7199884783407953</v>
      </c>
      <c r="E4" s="196">
        <f>E33</f>
        <v>-2.7073266277320727</v>
      </c>
      <c r="F4" s="196">
        <f>F33</f>
        <v>-2.707365494335356</v>
      </c>
      <c r="H4" s="163"/>
    </row>
    <row r="5" spans="2:17" x14ac:dyDescent="0.2">
      <c r="B5" s="197" t="s">
        <v>24</v>
      </c>
      <c r="C5" s="198">
        <f>'Cyklická zložka'!C11</f>
        <v>-0.15927951308950683</v>
      </c>
      <c r="D5" s="198">
        <f>'Cyklická zložka'!D11</f>
        <v>-0.45803864065429611</v>
      </c>
      <c r="E5" s="198">
        <f>'Cyklická zložka'!E11</f>
        <v>-0.37213239170136797</v>
      </c>
      <c r="F5" s="198">
        <f>'Cyklická zložka'!F11</f>
        <v>-0.12919149706059013</v>
      </c>
      <c r="H5" s="163"/>
    </row>
    <row r="6" spans="2:17" x14ac:dyDescent="0.2">
      <c r="B6" s="197" t="s">
        <v>25</v>
      </c>
      <c r="C6" s="199">
        <f>'One-offs'!C15</f>
        <v>0.15691969758482743</v>
      </c>
      <c r="D6" s="199">
        <f>'One-offs'!D15</f>
        <v>0.36532935035077202</v>
      </c>
      <c r="E6" s="199">
        <f>'One-offs'!E15</f>
        <v>0.17480920465717151</v>
      </c>
      <c r="F6" s="199">
        <f>'One-offs'!F15</f>
        <v>-0.1847364210899039</v>
      </c>
      <c r="H6" s="163"/>
    </row>
    <row r="7" spans="2:17" ht="13.5" thickBot="1" x14ac:dyDescent="0.25">
      <c r="B7" s="200" t="s">
        <v>26</v>
      </c>
      <c r="C7" s="201">
        <f>C4-C5-C6</f>
        <v>-4.3425265175670127</v>
      </c>
      <c r="D7" s="201">
        <f>D4-D5-D6</f>
        <v>-2.6272791880372712</v>
      </c>
      <c r="E7" s="201">
        <f>E4-E5-E6</f>
        <v>-2.5100034406878762</v>
      </c>
      <c r="F7" s="201">
        <f>F4-F5-F6</f>
        <v>-2.3934375761848621</v>
      </c>
    </row>
    <row r="8" spans="2:17" ht="13.5" thickBot="1" x14ac:dyDescent="0.25">
      <c r="B8" s="202" t="s">
        <v>27</v>
      </c>
      <c r="C8" s="203">
        <v>0.57431522311051098</v>
      </c>
      <c r="D8" s="203">
        <f>D7-C7</f>
        <v>1.7152473295297415</v>
      </c>
      <c r="E8" s="203">
        <f>E7-D7</f>
        <v>0.11727574734939505</v>
      </c>
      <c r="F8" s="203">
        <f>F7-E7</f>
        <v>0.11656586450301409</v>
      </c>
    </row>
    <row r="9" spans="2:17" x14ac:dyDescent="0.2">
      <c r="B9" s="197" t="s">
        <v>115</v>
      </c>
      <c r="C9" s="199">
        <f>C7</f>
        <v>-4.3425265175670127</v>
      </c>
      <c r="D9" s="199">
        <f>D41</f>
        <v>-3.5740212140536101</v>
      </c>
      <c r="E9" s="199">
        <f>E41</f>
        <v>-2.8055159105402074</v>
      </c>
      <c r="F9" s="199">
        <f>F41</f>
        <v>-2.0370106070268048</v>
      </c>
      <c r="G9" s="199"/>
      <c r="H9" s="103"/>
    </row>
    <row r="10" spans="2:17" x14ac:dyDescent="0.2">
      <c r="B10" s="197" t="s">
        <v>189</v>
      </c>
      <c r="C10" s="108">
        <f>C7-C9</f>
        <v>0</v>
      </c>
      <c r="D10" s="107">
        <f>D7-D9</f>
        <v>0.94674202601633883</v>
      </c>
      <c r="E10" s="107">
        <f>E7-E9</f>
        <v>0.29551246985233126</v>
      </c>
      <c r="F10" s="107">
        <f>F7-F9</f>
        <v>-0.35642696915805727</v>
      </c>
      <c r="G10" s="103"/>
    </row>
    <row r="11" spans="2:17" x14ac:dyDescent="0.2">
      <c r="E11" s="388" t="s">
        <v>57</v>
      </c>
      <c r="F11" s="388"/>
    </row>
    <row r="12" spans="2:17" x14ac:dyDescent="0.2">
      <c r="Q12" s="105"/>
    </row>
    <row r="13" spans="2:17" x14ac:dyDescent="0.2">
      <c r="B13" s="61" t="s">
        <v>214</v>
      </c>
      <c r="H13" s="61" t="s">
        <v>215</v>
      </c>
    </row>
    <row r="27" spans="2:13" x14ac:dyDescent="0.2">
      <c r="E27" s="388" t="s">
        <v>57</v>
      </c>
      <c r="F27" s="388"/>
      <c r="L27" s="388" t="s">
        <v>57</v>
      </c>
      <c r="M27" s="388"/>
    </row>
    <row r="29" spans="2:13" ht="13.5" thickBot="1" x14ac:dyDescent="0.25">
      <c r="B29" s="390" t="s">
        <v>218</v>
      </c>
      <c r="C29" s="390"/>
      <c r="D29" s="390"/>
      <c r="E29" s="390"/>
      <c r="F29" s="390"/>
    </row>
    <row r="30" spans="2:13" ht="13.5" thickBot="1" x14ac:dyDescent="0.25">
      <c r="B30" s="35"/>
      <c r="C30" s="36">
        <v>2012</v>
      </c>
      <c r="D30" s="36">
        <v>2013</v>
      </c>
      <c r="E30" s="36">
        <v>2014</v>
      </c>
      <c r="F30" s="36">
        <v>2015</v>
      </c>
    </row>
    <row r="31" spans="2:13" x14ac:dyDescent="0.2">
      <c r="B31" s="197" t="s">
        <v>121</v>
      </c>
      <c r="C31" s="204">
        <f>C35*100/C34</f>
        <v>36.285173730188241</v>
      </c>
      <c r="D31" s="204">
        <f>D35*100/D34</f>
        <v>38.720760651700175</v>
      </c>
      <c r="E31" s="204">
        <f>E35*100/E34</f>
        <v>39.309981930799353</v>
      </c>
      <c r="F31" s="204">
        <f>F35*100/F34</f>
        <v>42.873124904874615</v>
      </c>
    </row>
    <row r="32" spans="2:13" x14ac:dyDescent="0.2">
      <c r="B32" s="197" t="s">
        <v>122</v>
      </c>
      <c r="C32" s="204">
        <f>C36*100/C34</f>
        <v>40.630060063259933</v>
      </c>
      <c r="D32" s="204">
        <f>D36*100/D34</f>
        <v>41.44074913004097</v>
      </c>
      <c r="E32" s="204">
        <f>E36*100/E34</f>
        <v>42.017308558531425</v>
      </c>
      <c r="F32" s="204">
        <f>F36*100/F34</f>
        <v>45.580490399209971</v>
      </c>
      <c r="H32" s="105"/>
    </row>
    <row r="33" spans="2:9" x14ac:dyDescent="0.2">
      <c r="B33" s="205" t="s">
        <v>123</v>
      </c>
      <c r="C33" s="206">
        <f>C31-C32</f>
        <v>-4.3448863330716918</v>
      </c>
      <c r="D33" s="206">
        <f>D31-D32</f>
        <v>-2.7199884783407953</v>
      </c>
      <c r="E33" s="206">
        <f>E31-E32</f>
        <v>-2.7073266277320727</v>
      </c>
      <c r="F33" s="206">
        <f>F31-F32</f>
        <v>-2.707365494335356</v>
      </c>
    </row>
    <row r="34" spans="2:9" x14ac:dyDescent="0.2">
      <c r="B34" s="195" t="s">
        <v>124</v>
      </c>
      <c r="C34" s="207">
        <f>'[1]MMF+OS 10-16'!I89</f>
        <v>72703.513000000006</v>
      </c>
      <c r="D34" s="207">
        <f>'[1]MMF+OS 10-16'!J89</f>
        <v>74169.873000000007</v>
      </c>
      <c r="E34" s="207">
        <f>'[1]MMF+OS 10-16'!K89</f>
        <v>75946.358999999997</v>
      </c>
      <c r="F34" s="207">
        <f>'[1]MMF+OS 10-16'!L89</f>
        <v>78685.607999999993</v>
      </c>
    </row>
    <row r="35" spans="2:9" x14ac:dyDescent="0.2">
      <c r="B35" s="208" t="s">
        <v>178</v>
      </c>
      <c r="C35" s="209">
        <f>'[1]MMF+OS 10-16'!I6</f>
        <v>26380.595999999998</v>
      </c>
      <c r="D35" s="209">
        <f>'[1]MMF+OS 10-16'!J6</f>
        <v>28719.138999999996</v>
      </c>
      <c r="E35" s="209">
        <f>'[1]MMF+OS 10-16'!K6</f>
        <v>29854.500000000004</v>
      </c>
      <c r="F35" s="209">
        <f>'[1]MMF+OS 10-16'!L6</f>
        <v>33734.979000000007</v>
      </c>
    </row>
    <row r="36" spans="2:9" x14ac:dyDescent="0.2">
      <c r="B36" s="208" t="s">
        <v>179</v>
      </c>
      <c r="C36" s="209">
        <f>'[1]MMF+OS 10-16'!I41</f>
        <v>29539.480999999996</v>
      </c>
      <c r="D36" s="209">
        <f>'[1]MMF+OS 10-16'!J41</f>
        <v>30736.550999999996</v>
      </c>
      <c r="E36" s="209">
        <f>'[1]MMF+OS 10-16'!K41</f>
        <v>31910.616000000002</v>
      </c>
      <c r="F36" s="209">
        <f>'[1]MMF+OS 10-16'!L41</f>
        <v>35865.285999999993</v>
      </c>
    </row>
    <row r="37" spans="2:9" x14ac:dyDescent="0.2">
      <c r="B37" s="195"/>
      <c r="C37" s="207"/>
      <c r="D37" s="210"/>
      <c r="E37" s="210"/>
      <c r="F37" s="210"/>
    </row>
    <row r="38" spans="2:9" x14ac:dyDescent="0.2">
      <c r="E38" s="388" t="s">
        <v>57</v>
      </c>
      <c r="F38" s="388"/>
    </row>
    <row r="39" spans="2:9" ht="17.25" customHeight="1" thickBot="1" x14ac:dyDescent="0.25">
      <c r="B39" s="158" t="s">
        <v>219</v>
      </c>
      <c r="C39" s="158"/>
      <c r="D39" s="160"/>
      <c r="E39" s="160"/>
      <c r="F39" s="160"/>
      <c r="G39" s="104"/>
      <c r="H39" s="104"/>
    </row>
    <row r="40" spans="2:9" x14ac:dyDescent="0.2">
      <c r="B40" s="211"/>
      <c r="C40" s="70">
        <v>2012</v>
      </c>
      <c r="D40" s="70">
        <v>2013</v>
      </c>
      <c r="E40" s="70">
        <v>2014</v>
      </c>
      <c r="F40" s="70">
        <v>2015</v>
      </c>
      <c r="G40" s="70">
        <v>2016</v>
      </c>
      <c r="H40" s="70">
        <v>2017</v>
      </c>
    </row>
    <row r="41" spans="2:9" x14ac:dyDescent="0.2">
      <c r="B41" s="197" t="s">
        <v>115</v>
      </c>
      <c r="C41" s="212">
        <f>C7</f>
        <v>-4.3425265175670127</v>
      </c>
      <c r="D41" s="212">
        <f>C41-(($C$41-$H$41)/5)</f>
        <v>-3.5740212140536101</v>
      </c>
      <c r="E41" s="212">
        <f t="shared" ref="E41" si="0">D41-(($C$41-$H$41)/5)</f>
        <v>-2.8055159105402074</v>
      </c>
      <c r="F41" s="212">
        <f>E41-(($C$41-$H$41)/5)</f>
        <v>-2.0370106070268048</v>
      </c>
      <c r="G41" s="212">
        <f>F41-(($C$41-$H$41)/5)</f>
        <v>-1.2685053035134022</v>
      </c>
      <c r="H41" s="212">
        <v>-0.5</v>
      </c>
      <c r="I41" s="199"/>
    </row>
    <row r="42" spans="2:9" ht="13.5" thickBot="1" x14ac:dyDescent="0.25">
      <c r="B42" s="213"/>
      <c r="C42" s="214"/>
      <c r="D42" s="214">
        <f>D41-C41</f>
        <v>0.76850530351340263</v>
      </c>
      <c r="E42" s="214">
        <f>E41-D41</f>
        <v>0.76850530351340263</v>
      </c>
      <c r="F42" s="214">
        <f t="shared" ref="F42:H42" si="1">F41-E41</f>
        <v>0.76850530351340263</v>
      </c>
      <c r="G42" s="214">
        <f t="shared" si="1"/>
        <v>0.76850530351340263</v>
      </c>
      <c r="H42" s="214">
        <f t="shared" si="1"/>
        <v>0.76850530351340218</v>
      </c>
    </row>
    <row r="43" spans="2:9" x14ac:dyDescent="0.2">
      <c r="G43" s="388" t="s">
        <v>57</v>
      </c>
      <c r="H43" s="388"/>
    </row>
  </sheetData>
  <mergeCells count="7">
    <mergeCell ref="L27:M27"/>
    <mergeCell ref="B2:F2"/>
    <mergeCell ref="E38:F38"/>
    <mergeCell ref="G43:H43"/>
    <mergeCell ref="E11:F11"/>
    <mergeCell ref="E27:F27"/>
    <mergeCell ref="B29:F2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"/>
  <dimension ref="B2:I20"/>
  <sheetViews>
    <sheetView showGridLines="0" workbookViewId="0">
      <selection activeCell="C39" sqref="C39"/>
    </sheetView>
  </sheetViews>
  <sheetFormatPr defaultRowHeight="12.75" x14ac:dyDescent="0.2"/>
  <cols>
    <col min="1" max="1" width="15.140625" style="91" customWidth="1"/>
    <col min="2" max="2" width="51.28515625" style="91" customWidth="1"/>
    <col min="3" max="3" width="10.85546875" style="91" customWidth="1"/>
    <col min="4" max="4" width="9.7109375" style="91" customWidth="1"/>
    <col min="5" max="5" width="9.5703125" style="91" bestFit="1" customWidth="1"/>
    <col min="6" max="8" width="9.28515625" style="91" bestFit="1" customWidth="1"/>
    <col min="9" max="16384" width="9.140625" style="91"/>
  </cols>
  <sheetData>
    <row r="2" spans="2:8" ht="17.25" customHeight="1" thickBot="1" x14ac:dyDescent="0.25">
      <c r="B2" s="389" t="s">
        <v>221</v>
      </c>
      <c r="C2" s="389"/>
      <c r="D2" s="389"/>
      <c r="E2" s="389"/>
      <c r="F2" s="389"/>
    </row>
    <row r="3" spans="2:8" ht="16.5" thickBot="1" x14ac:dyDescent="0.25">
      <c r="B3" s="35"/>
      <c r="C3" s="36">
        <v>2013</v>
      </c>
      <c r="D3" s="36">
        <v>2014</v>
      </c>
      <c r="E3" s="36" t="s">
        <v>50</v>
      </c>
      <c r="F3" s="36" t="s">
        <v>51</v>
      </c>
    </row>
    <row r="4" spans="2:8" x14ac:dyDescent="0.2">
      <c r="B4" s="195" t="s">
        <v>52</v>
      </c>
      <c r="C4" s="215">
        <f>ŠS!D4</f>
        <v>-2.7199884783407953</v>
      </c>
      <c r="D4" s="215">
        <f>ŠS!E4</f>
        <v>-2.7073266277320727</v>
      </c>
      <c r="E4" s="215">
        <f>ŠS!F4</f>
        <v>-2.707365494335356</v>
      </c>
      <c r="F4" s="216" t="s">
        <v>53</v>
      </c>
    </row>
    <row r="5" spans="2:8" ht="25.5" x14ac:dyDescent="0.2">
      <c r="B5" s="195" t="s">
        <v>54</v>
      </c>
      <c r="C5" s="217" t="s">
        <v>53</v>
      </c>
      <c r="D5" s="217" t="s">
        <v>53</v>
      </c>
      <c r="E5" s="217" t="s">
        <v>53</v>
      </c>
      <c r="F5" s="218">
        <f>E4+VP_faktory!E24</f>
        <v>-2.3172051997107026</v>
      </c>
    </row>
    <row r="6" spans="2:8" x14ac:dyDescent="0.2">
      <c r="B6" s="197" t="s">
        <v>24</v>
      </c>
      <c r="C6" s="219">
        <f>'Cyklická zložka'!D11</f>
        <v>-0.45803864065429611</v>
      </c>
      <c r="D6" s="219">
        <f>'Cyklická zložka'!E11</f>
        <v>-0.37213239170136797</v>
      </c>
      <c r="E6" s="219">
        <f>'Cyklická zložka'!F11</f>
        <v>-0.12919149706059013</v>
      </c>
      <c r="F6" s="220">
        <f>E6</f>
        <v>-0.12919149706059013</v>
      </c>
    </row>
    <row r="7" spans="2:8" x14ac:dyDescent="0.2">
      <c r="B7" s="197" t="s">
        <v>25</v>
      </c>
      <c r="C7" s="219">
        <f>'One-offs'!D15</f>
        <v>0.36532935035077202</v>
      </c>
      <c r="D7" s="219">
        <f>'One-offs'!E15</f>
        <v>0.17480920465717151</v>
      </c>
      <c r="E7" s="219">
        <f>'One-offs'!F15</f>
        <v>-0.1847364210899039</v>
      </c>
      <c r="F7" s="220">
        <f>E7</f>
        <v>-0.1847364210899039</v>
      </c>
    </row>
    <row r="8" spans="2:8" ht="13.5" thickBot="1" x14ac:dyDescent="0.25">
      <c r="B8" s="200" t="s">
        <v>26</v>
      </c>
      <c r="C8" s="221">
        <f>C4-C6-C7</f>
        <v>-2.6272791880372712</v>
      </c>
      <c r="D8" s="221">
        <f>D4-D6-D7</f>
        <v>-2.5100034406878762</v>
      </c>
      <c r="E8" s="221">
        <f>E4-E6-E7</f>
        <v>-2.3934375761848621</v>
      </c>
      <c r="F8" s="221">
        <f>F5-F6-F7</f>
        <v>-2.0032772815602087</v>
      </c>
    </row>
    <row r="9" spans="2:8" ht="13.5" thickBot="1" x14ac:dyDescent="0.25">
      <c r="B9" s="222" t="s">
        <v>55</v>
      </c>
      <c r="C9" s="223">
        <f>ŠS!D41</f>
        <v>-3.5740212140536101</v>
      </c>
      <c r="D9" s="223">
        <f>ŠS!E41</f>
        <v>-2.8055159105402074</v>
      </c>
      <c r="E9" s="223">
        <f>ŠS!F41</f>
        <v>-2.0370106070268048</v>
      </c>
      <c r="F9" s="224">
        <f>E9</f>
        <v>-2.0370106070268048</v>
      </c>
    </row>
    <row r="10" spans="2:8" ht="13.5" thickBot="1" x14ac:dyDescent="0.25">
      <c r="B10" s="225" t="s">
        <v>56</v>
      </c>
      <c r="C10" s="226">
        <f>C8-C9</f>
        <v>0.94674202601633883</v>
      </c>
      <c r="D10" s="226">
        <f>D8-D9</f>
        <v>0.29551246985233126</v>
      </c>
      <c r="E10" s="227">
        <f>E8-E9</f>
        <v>-0.35642696915805727</v>
      </c>
      <c r="F10" s="227">
        <f>F8-F9</f>
        <v>3.3733325466596131E-2</v>
      </c>
    </row>
    <row r="11" spans="2:8" x14ac:dyDescent="0.2">
      <c r="B11" s="394" t="s">
        <v>57</v>
      </c>
      <c r="C11" s="394"/>
      <c r="D11" s="394"/>
      <c r="E11" s="394"/>
      <c r="F11" s="394"/>
    </row>
    <row r="13" spans="2:8" ht="13.5" thickBot="1" x14ac:dyDescent="0.25">
      <c r="B13" s="395" t="s">
        <v>222</v>
      </c>
      <c r="C13" s="395"/>
      <c r="D13" s="395"/>
      <c r="E13" s="396"/>
      <c r="F13" s="396"/>
      <c r="G13" s="396"/>
    </row>
    <row r="14" spans="2:8" ht="25.5" x14ac:dyDescent="0.2">
      <c r="B14" s="84" t="s">
        <v>138</v>
      </c>
      <c r="C14" s="83" t="s">
        <v>139</v>
      </c>
      <c r="D14" s="87" t="s">
        <v>139</v>
      </c>
      <c r="E14" s="392" t="s">
        <v>140</v>
      </c>
      <c r="F14" s="393"/>
      <c r="G14" s="393"/>
      <c r="H14" s="393"/>
    </row>
    <row r="15" spans="2:8" x14ac:dyDescent="0.2">
      <c r="B15" s="85"/>
      <c r="C15" s="86">
        <v>2014</v>
      </c>
      <c r="D15" s="88">
        <v>2015</v>
      </c>
      <c r="E15" s="124">
        <v>2016</v>
      </c>
      <c r="F15" s="124">
        <v>2017</v>
      </c>
      <c r="G15" s="124">
        <v>2018</v>
      </c>
      <c r="H15" s="124">
        <v>2019</v>
      </c>
    </row>
    <row r="16" spans="2:8" ht="13.5" thickBot="1" x14ac:dyDescent="0.25">
      <c r="B16" s="228" t="s">
        <v>141</v>
      </c>
      <c r="C16" s="229">
        <v>0</v>
      </c>
      <c r="D16" s="230">
        <v>0</v>
      </c>
      <c r="E16" s="231">
        <v>396714.00000000361</v>
      </c>
      <c r="F16" s="232">
        <v>686919.00000000163</v>
      </c>
      <c r="G16" s="232">
        <v>784637.99999999907</v>
      </c>
      <c r="H16" s="232">
        <v>737538.00000000047</v>
      </c>
    </row>
    <row r="17" spans="2:9" x14ac:dyDescent="0.2">
      <c r="B17" s="391" t="s">
        <v>142</v>
      </c>
      <c r="C17" s="391"/>
      <c r="D17" s="391"/>
      <c r="E17" s="391"/>
      <c r="F17" s="391"/>
      <c r="G17" s="391"/>
      <c r="H17" s="391"/>
    </row>
    <row r="20" spans="2:9" x14ac:dyDescent="0.2">
      <c r="E20" s="233"/>
      <c r="F20" s="233"/>
      <c r="G20" s="233"/>
      <c r="H20" s="233"/>
      <c r="I20" s="233"/>
    </row>
  </sheetData>
  <mergeCells count="5">
    <mergeCell ref="B17:H17"/>
    <mergeCell ref="E14:H14"/>
    <mergeCell ref="B11:F11"/>
    <mergeCell ref="B13:G13"/>
    <mergeCell ref="B2:F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5"/>
  <dimension ref="B2:V59"/>
  <sheetViews>
    <sheetView showGridLines="0" workbookViewId="0">
      <selection activeCell="C39" sqref="C39"/>
    </sheetView>
  </sheetViews>
  <sheetFormatPr defaultRowHeight="12.75" x14ac:dyDescent="0.2"/>
  <cols>
    <col min="1" max="1" width="9.140625" style="91"/>
    <col min="2" max="2" width="30.140625" style="91" customWidth="1"/>
    <col min="3" max="15" width="8" style="91" customWidth="1"/>
    <col min="16" max="16" width="8" style="91" bestFit="1" customWidth="1"/>
    <col min="17" max="22" width="9.28515625" style="91" bestFit="1" customWidth="1"/>
    <col min="23" max="16384" width="9.140625" style="91"/>
  </cols>
  <sheetData>
    <row r="2" spans="2:18" ht="13.5" thickBot="1" x14ac:dyDescent="0.25">
      <c r="B2" s="397" t="s">
        <v>225</v>
      </c>
      <c r="C2" s="397"/>
      <c r="D2" s="397"/>
      <c r="E2" s="397"/>
      <c r="F2" s="397"/>
    </row>
    <row r="3" spans="2:18" ht="13.5" thickBot="1" x14ac:dyDescent="0.25">
      <c r="B3" s="98"/>
      <c r="C3" s="99">
        <v>2012</v>
      </c>
      <c r="D3" s="99">
        <v>2013</v>
      </c>
      <c r="E3" s="99">
        <v>2014</v>
      </c>
      <c r="F3" s="99">
        <v>2015</v>
      </c>
      <c r="M3" s="100"/>
    </row>
    <row r="4" spans="2:18" ht="13.5" thickBot="1" x14ac:dyDescent="0.25">
      <c r="B4" s="101" t="s">
        <v>145</v>
      </c>
      <c r="C4" s="106">
        <v>-0.25511071898901072</v>
      </c>
      <c r="D4" s="106">
        <v>-0.59865437679070654</v>
      </c>
      <c r="E4" s="106">
        <v>-0.39442629960825965</v>
      </c>
      <c r="F4" s="106">
        <v>-0.19234149845218201</v>
      </c>
      <c r="H4" s="102"/>
      <c r="I4" s="103"/>
      <c r="J4" s="103"/>
      <c r="K4" s="103"/>
      <c r="L4" s="103"/>
      <c r="M4" s="103"/>
      <c r="N4" s="103"/>
      <c r="O4" s="103"/>
      <c r="P4" s="103"/>
    </row>
    <row r="5" spans="2:18" x14ac:dyDescent="0.2">
      <c r="B5" s="91" t="s">
        <v>146</v>
      </c>
      <c r="C5" s="108">
        <v>-1.352170968533535E-3</v>
      </c>
      <c r="D5" s="108">
        <v>-3.2257660618633041E-2</v>
      </c>
      <c r="E5" s="108">
        <v>-3.6897200865097207E-2</v>
      </c>
      <c r="F5" s="108">
        <v>-1.6910869665708407E-2</v>
      </c>
      <c r="H5" s="102"/>
      <c r="I5" s="103"/>
      <c r="J5" s="103"/>
      <c r="K5" s="103"/>
      <c r="L5" s="103"/>
      <c r="M5" s="103"/>
      <c r="N5" s="103"/>
      <c r="O5" s="103"/>
      <c r="P5" s="103"/>
    </row>
    <row r="6" spans="2:18" x14ac:dyDescent="0.2">
      <c r="B6" s="91" t="s">
        <v>147</v>
      </c>
      <c r="C6" s="108">
        <v>-8.0290196651756733E-3</v>
      </c>
      <c r="D6" s="108">
        <v>-0.14440427209362006</v>
      </c>
      <c r="E6" s="108">
        <v>-0.16098358892362724</v>
      </c>
      <c r="F6" s="108">
        <v>-6.9362675366754847E-2</v>
      </c>
      <c r="H6" s="102"/>
      <c r="I6" s="103"/>
      <c r="J6" s="103"/>
      <c r="K6" s="103"/>
      <c r="L6" s="103"/>
      <c r="M6" s="103"/>
      <c r="N6" s="103"/>
      <c r="O6" s="103"/>
      <c r="P6" s="103"/>
    </row>
    <row r="7" spans="2:18" x14ac:dyDescent="0.2">
      <c r="B7" s="91" t="s">
        <v>148</v>
      </c>
      <c r="C7" s="108">
        <v>-3.6907045684962697E-2</v>
      </c>
      <c r="D7" s="108">
        <v>-5.434587857610676E-2</v>
      </c>
      <c r="E7" s="108">
        <v>-4.4268998477466889E-2</v>
      </c>
      <c r="F7" s="108">
        <v>-2.2425889497380828E-2</v>
      </c>
      <c r="H7" s="102"/>
      <c r="I7" s="103"/>
      <c r="J7" s="103"/>
      <c r="K7" s="103"/>
      <c r="L7" s="103"/>
      <c r="M7" s="103"/>
      <c r="N7" s="103"/>
      <c r="O7" s="103"/>
      <c r="P7" s="103"/>
    </row>
    <row r="8" spans="2:18" x14ac:dyDescent="0.2">
      <c r="B8" s="91" t="s">
        <v>149</v>
      </c>
      <c r="C8" s="108">
        <v>-7.7462199903044801E-2</v>
      </c>
      <c r="D8" s="108">
        <v>-0.18287793454293708</v>
      </c>
      <c r="E8" s="108">
        <v>-0.14339505330795257</v>
      </c>
      <c r="F8" s="108">
        <v>-6.6905435980394334E-2</v>
      </c>
    </row>
    <row r="9" spans="2:18" ht="15" customHeight="1" x14ac:dyDescent="0.2">
      <c r="B9" s="91" t="s">
        <v>150</v>
      </c>
      <c r="C9" s="108">
        <v>-2.8775749376977147E-2</v>
      </c>
      <c r="D9" s="108">
        <v>-1.9532049222180221E-2</v>
      </c>
      <c r="E9" s="108">
        <v>3.4118386354482548E-2</v>
      </c>
      <c r="F9" s="108">
        <v>5.8998185214102411E-2</v>
      </c>
      <c r="O9" s="398"/>
      <c r="P9" s="398"/>
      <c r="Q9" s="398"/>
      <c r="R9" s="398"/>
    </row>
    <row r="10" spans="2:18" ht="13.5" thickBot="1" x14ac:dyDescent="0.25">
      <c r="B10" s="104" t="s">
        <v>151</v>
      </c>
      <c r="C10" s="109">
        <v>-6.7533274908129649E-3</v>
      </c>
      <c r="D10" s="109">
        <v>-2.4620845600818959E-2</v>
      </c>
      <c r="E10" s="109">
        <v>-2.0705936481706579E-2</v>
      </c>
      <c r="F10" s="109">
        <v>-1.2584811764454111E-2</v>
      </c>
      <c r="O10" s="398"/>
      <c r="P10" s="398"/>
      <c r="Q10" s="398"/>
      <c r="R10" s="398"/>
    </row>
    <row r="11" spans="2:18" x14ac:dyDescent="0.2">
      <c r="B11" s="105" t="s">
        <v>152</v>
      </c>
      <c r="C11" s="138">
        <f>SUM(C5:C10)</f>
        <v>-0.15927951308950683</v>
      </c>
      <c r="D11" s="138">
        <f>SUM(D5:D10)</f>
        <v>-0.45803864065429611</v>
      </c>
      <c r="E11" s="138">
        <f>SUM(E5:E10)</f>
        <v>-0.37213239170136797</v>
      </c>
      <c r="F11" s="138">
        <f>SUM(F5:F10)</f>
        <v>-0.12919149706059013</v>
      </c>
      <c r="O11" s="398"/>
      <c r="P11" s="398"/>
      <c r="Q11" s="398"/>
      <c r="R11" s="398"/>
    </row>
    <row r="12" spans="2:18" x14ac:dyDescent="0.2">
      <c r="E12" s="388" t="s">
        <v>57</v>
      </c>
      <c r="F12" s="388"/>
      <c r="O12" s="398"/>
      <c r="P12" s="398"/>
      <c r="Q12" s="398"/>
      <c r="R12" s="398"/>
    </row>
    <row r="13" spans="2:18" x14ac:dyDescent="0.2">
      <c r="O13" s="398"/>
      <c r="P13" s="398"/>
      <c r="Q13" s="398"/>
      <c r="R13" s="398"/>
    </row>
    <row r="14" spans="2:18" x14ac:dyDescent="0.2">
      <c r="B14" s="61" t="s">
        <v>224</v>
      </c>
      <c r="J14" s="61" t="s">
        <v>223</v>
      </c>
    </row>
    <row r="29" spans="5:6" x14ac:dyDescent="0.2">
      <c r="E29" s="388" t="s">
        <v>57</v>
      </c>
      <c r="F29" s="388"/>
    </row>
    <row r="32" spans="5:6" s="105" customFormat="1" x14ac:dyDescent="0.2"/>
    <row r="34" spans="2:22" ht="13.5" thickBot="1" x14ac:dyDescent="0.25">
      <c r="B34" s="390" t="s">
        <v>226</v>
      </c>
      <c r="C34" s="390"/>
      <c r="D34" s="390"/>
      <c r="E34" s="390"/>
      <c r="F34" s="390"/>
      <c r="G34" s="390"/>
      <c r="H34" s="390"/>
      <c r="I34" s="390"/>
      <c r="J34" s="390"/>
      <c r="K34" s="390"/>
      <c r="L34" s="390"/>
      <c r="M34" s="390"/>
      <c r="N34" s="390"/>
      <c r="O34" s="390"/>
      <c r="P34" s="390"/>
      <c r="Q34" s="390"/>
      <c r="R34" s="390"/>
      <c r="S34" s="390"/>
      <c r="T34" s="390"/>
      <c r="U34" s="390"/>
      <c r="V34" s="390"/>
    </row>
    <row r="35" spans="2:22" x14ac:dyDescent="0.2">
      <c r="B35" s="112"/>
      <c r="C35" s="113" t="s">
        <v>158</v>
      </c>
      <c r="D35" s="113" t="s">
        <v>159</v>
      </c>
      <c r="E35" s="113" t="s">
        <v>160</v>
      </c>
      <c r="F35" s="113" t="s">
        <v>161</v>
      </c>
      <c r="G35" s="113" t="s">
        <v>162</v>
      </c>
      <c r="H35" s="113" t="s">
        <v>163</v>
      </c>
      <c r="I35" s="113" t="s">
        <v>164</v>
      </c>
      <c r="J35" s="113" t="s">
        <v>165</v>
      </c>
      <c r="K35" s="113" t="s">
        <v>166</v>
      </c>
      <c r="L35" s="113" t="s">
        <v>167</v>
      </c>
      <c r="M35" s="113" t="s">
        <v>168</v>
      </c>
      <c r="N35" s="113" t="s">
        <v>169</v>
      </c>
      <c r="O35" s="113" t="s">
        <v>170</v>
      </c>
      <c r="P35" s="113" t="s">
        <v>171</v>
      </c>
      <c r="Q35" s="113" t="s">
        <v>172</v>
      </c>
      <c r="R35" s="113" t="s">
        <v>173</v>
      </c>
      <c r="S35" s="113" t="s">
        <v>174</v>
      </c>
      <c r="T35" s="113" t="s">
        <v>175</v>
      </c>
      <c r="U35" s="113" t="s">
        <v>176</v>
      </c>
      <c r="V35" s="113" t="s">
        <v>177</v>
      </c>
    </row>
    <row r="36" spans="2:22" x14ac:dyDescent="0.2">
      <c r="B36" s="91" t="s">
        <v>153</v>
      </c>
      <c r="C36" s="107">
        <v>-1.4954538195610212E-2</v>
      </c>
      <c r="D36" s="234">
        <v>-2.1879342604069763E-2</v>
      </c>
      <c r="E36" s="234">
        <v>-1.6277277580420524E-2</v>
      </c>
      <c r="F36" s="234">
        <v>-1.7462516452349419E-2</v>
      </c>
      <c r="G36" s="234">
        <v>-8.8630394947104563E-3</v>
      </c>
      <c r="H36" s="234">
        <v>5.0746208052494524E-3</v>
      </c>
      <c r="I36" s="234">
        <v>2.6091464499979899E-2</v>
      </c>
      <c r="J36" s="234">
        <v>6.7565675682080162E-2</v>
      </c>
      <c r="K36" s="234">
        <v>3.5498572696989861E-2</v>
      </c>
      <c r="L36" s="234">
        <v>-1.1999069699180076E-2</v>
      </c>
      <c r="M36" s="234">
        <v>6.7930815525301114E-3</v>
      </c>
      <c r="N36" s="107">
        <v>6.869853040549323E-3</v>
      </c>
      <c r="O36" s="107">
        <v>4.5518138862998825E-3</v>
      </c>
      <c r="P36" s="107">
        <v>-7.6887741023305978E-3</v>
      </c>
      <c r="Q36" s="107">
        <v>-1.3402860502810476E-2</v>
      </c>
      <c r="R36" s="107">
        <v>-1.1863221043709401E-2</v>
      </c>
      <c r="S36" s="107">
        <v>-2.269311755163006E-2</v>
      </c>
      <c r="T36" s="107">
        <v>-1.5107946435140462E-2</v>
      </c>
      <c r="U36" s="107">
        <v>-2.7556521728699934E-3</v>
      </c>
      <c r="V36" s="107">
        <v>1.5202273672580091E-2</v>
      </c>
    </row>
    <row r="37" spans="2:22" x14ac:dyDescent="0.2">
      <c r="B37" s="110" t="s">
        <v>154</v>
      </c>
      <c r="C37" s="107">
        <v>-1.42068112858297E-2</v>
      </c>
      <c r="D37" s="107">
        <v>1.7887934832998553E-3</v>
      </c>
      <c r="E37" s="107">
        <v>7.9613173504995416E-3</v>
      </c>
      <c r="F37" s="107">
        <v>-1.4163106087799804E-2</v>
      </c>
      <c r="G37" s="107">
        <v>-1.9808468755199371E-2</v>
      </c>
      <c r="H37" s="107">
        <v>-1.4642637337599851E-2</v>
      </c>
      <c r="I37" s="107">
        <v>-7.6087752955000809E-3</v>
      </c>
      <c r="J37" s="107">
        <v>2.1213142235101401E-2</v>
      </c>
      <c r="K37" s="107">
        <v>4.4409151485499621E-2</v>
      </c>
      <c r="L37" s="107">
        <v>1.6059226308799524E-2</v>
      </c>
      <c r="M37" s="107">
        <v>8.0931485125006475E-3</v>
      </c>
      <c r="N37" s="107">
        <v>-2.8146209139006118E-3</v>
      </c>
      <c r="O37" s="107">
        <v>-9.4719803811997849E-3</v>
      </c>
      <c r="P37" s="107">
        <v>-2.1406434089298543E-2</v>
      </c>
      <c r="Q37" s="107">
        <v>-1.6344515821300476E-2</v>
      </c>
      <c r="R37" s="107">
        <v>-7.6077029424007599E-3</v>
      </c>
      <c r="S37" s="107">
        <v>9.5476116159964874E-4</v>
      </c>
      <c r="T37" s="107">
        <v>1.7539244963007405E-3</v>
      </c>
      <c r="U37" s="107">
        <v>4.298722896301399E-3</v>
      </c>
      <c r="V37" s="107">
        <v>8.0013142312989061E-3</v>
      </c>
    </row>
    <row r="38" spans="2:22" x14ac:dyDescent="0.2">
      <c r="B38" s="110" t="s">
        <v>155</v>
      </c>
      <c r="C38" s="107">
        <v>-3.0702187897595934E-2</v>
      </c>
      <c r="D38" s="107">
        <v>-1.5617150911381827E-2</v>
      </c>
      <c r="E38" s="107">
        <v>-6.7387352830987624E-3</v>
      </c>
      <c r="F38" s="107">
        <v>-6.7865512124924976E-3</v>
      </c>
      <c r="G38" s="107">
        <v>-8.0454776654264037E-3</v>
      </c>
      <c r="H38" s="107">
        <v>-3.6499984726971135E-2</v>
      </c>
      <c r="I38" s="107">
        <v>-2.5153559940559234E-2</v>
      </c>
      <c r="J38" s="107">
        <v>2.2295089098850696E-2</v>
      </c>
      <c r="K38" s="107">
        <v>1.2420782414244158E-2</v>
      </c>
      <c r="L38" s="107">
        <v>-8.5262054849962965E-2</v>
      </c>
      <c r="M38" s="107">
        <v>-1.1588249911042681E-2</v>
      </c>
      <c r="N38" s="107">
        <v>-1.1757415141227412E-2</v>
      </c>
      <c r="O38" s="107">
        <v>-1.5647916587200328E-2</v>
      </c>
      <c r="P38" s="107">
        <v>-1.9032789233444092E-2</v>
      </c>
      <c r="Q38" s="107">
        <v>-1.3424638899586228E-2</v>
      </c>
      <c r="R38" s="107">
        <v>-5.9911716025980999E-3</v>
      </c>
      <c r="S38" s="107">
        <v>-6.4080091078011492E-4</v>
      </c>
      <c r="T38" s="107">
        <v>4.0888137778267719E-3</v>
      </c>
      <c r="U38" s="107">
        <v>7.1819720680270649E-3</v>
      </c>
      <c r="V38" s="107">
        <v>1.7085165150197312E-2</v>
      </c>
    </row>
    <row r="39" spans="2:22" x14ac:dyDescent="0.2">
      <c r="B39" s="110" t="s">
        <v>156</v>
      </c>
      <c r="C39" s="107">
        <v>9.5884566511665794E-3</v>
      </c>
      <c r="D39" s="107">
        <v>-1.0419726496040799E-2</v>
      </c>
      <c r="E39" s="107">
        <v>-1.9469822791838998E-2</v>
      </c>
      <c r="F39" s="107">
        <v>-1.3014240164566499E-2</v>
      </c>
      <c r="G39" s="107">
        <v>-2.8702909356552699E-2</v>
      </c>
      <c r="H39" s="107">
        <v>1.19902167511583E-2</v>
      </c>
      <c r="I39" s="107">
        <v>1.45293842723175E-2</v>
      </c>
      <c r="J39" s="107">
        <v>2.58403339941022E-2</v>
      </c>
      <c r="K39" s="107">
        <v>5.3122445705074697E-2</v>
      </c>
      <c r="L39" s="107">
        <v>1.9844067876062001E-2</v>
      </c>
      <c r="M39" s="107">
        <v>-1.0306894406309801E-2</v>
      </c>
      <c r="N39" s="107">
        <v>-3.0525804112970698E-3</v>
      </c>
      <c r="O39" s="107">
        <v>-7.1715971849250996E-3</v>
      </c>
      <c r="P39" s="107">
        <v>-2.59966938907982E-2</v>
      </c>
      <c r="Q39" s="107">
        <v>-2.3266221255782999E-2</v>
      </c>
      <c r="R39" s="107">
        <v>-2.7006634517998001E-3</v>
      </c>
      <c r="S39" s="107">
        <v>5.0000000000000001E-4</v>
      </c>
      <c r="T39" s="107">
        <v>5.7618055913524202E-3</v>
      </c>
      <c r="U39" s="107">
        <v>7.4544760793102604E-3</v>
      </c>
      <c r="V39" s="107">
        <v>6.9581755279575202E-3</v>
      </c>
    </row>
    <row r="40" spans="2:22" x14ac:dyDescent="0.2">
      <c r="B40" s="111" t="s">
        <v>157</v>
      </c>
      <c r="C40" s="107">
        <v>-1.7044968557226502E-2</v>
      </c>
      <c r="D40" s="107">
        <v>-1.46801540533617E-2</v>
      </c>
      <c r="E40" s="107">
        <v>-9.3797555318269193E-3</v>
      </c>
      <c r="F40" s="107">
        <v>-6.6399180718630501E-3</v>
      </c>
      <c r="G40" s="107">
        <v>-1.1157642639722101E-2</v>
      </c>
      <c r="H40" s="107">
        <v>-1.7795407385142001E-2</v>
      </c>
      <c r="I40" s="107">
        <v>-1.0306257710426502E-2</v>
      </c>
      <c r="J40" s="107">
        <v>1.48068627275036E-2</v>
      </c>
      <c r="K40" s="107">
        <v>2.6675892115425801E-2</v>
      </c>
      <c r="L40" s="107">
        <v>-4.0914285573130302E-2</v>
      </c>
      <c r="M40" s="107">
        <v>-8.9198060088492397E-3</v>
      </c>
      <c r="N40" s="107">
        <v>-1.0286734354662199E-2</v>
      </c>
      <c r="O40" s="107">
        <v>-1.09275429240353E-2</v>
      </c>
      <c r="P40" s="107">
        <v>-1.9307726393800198E-2</v>
      </c>
      <c r="Q40" s="107">
        <v>-1.35047473520131E-2</v>
      </c>
      <c r="R40" s="107">
        <v>-7.8665962538484596E-3</v>
      </c>
      <c r="S40" s="107">
        <v>-3.4554704520820801E-3</v>
      </c>
      <c r="T40" s="107">
        <v>2.7985881608725499E-3</v>
      </c>
      <c r="U40" s="107">
        <v>6.1482220486228896E-3</v>
      </c>
      <c r="V40" s="107">
        <v>1.2826668652167601E-2</v>
      </c>
    </row>
    <row r="41" spans="2:22" x14ac:dyDescent="0.2">
      <c r="U41" s="164" t="s">
        <v>57</v>
      </c>
      <c r="V41" s="164"/>
    </row>
    <row r="43" spans="2:22" x14ac:dyDescent="0.2">
      <c r="B43" s="171"/>
    </row>
    <row r="59" spans="6:7" x14ac:dyDescent="0.2">
      <c r="F59" s="388" t="s">
        <v>57</v>
      </c>
      <c r="G59" s="388"/>
    </row>
  </sheetData>
  <mergeCells count="6">
    <mergeCell ref="F59:G59"/>
    <mergeCell ref="B2:F2"/>
    <mergeCell ref="B34:V34"/>
    <mergeCell ref="E12:F12"/>
    <mergeCell ref="E29:F29"/>
    <mergeCell ref="O9:R1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6"/>
  <dimension ref="B2:Y63"/>
  <sheetViews>
    <sheetView showGridLines="0" zoomScaleNormal="100" workbookViewId="0">
      <selection activeCell="A40" sqref="A40"/>
    </sheetView>
  </sheetViews>
  <sheetFormatPr defaultRowHeight="12.75" x14ac:dyDescent="0.2"/>
  <cols>
    <col min="1" max="1" width="11.85546875" style="91" customWidth="1"/>
    <col min="2" max="2" width="62.85546875" style="91" customWidth="1"/>
    <col min="3" max="3" width="8.42578125" style="110" customWidth="1"/>
    <col min="4" max="4" width="9.42578125" style="91" bestFit="1" customWidth="1"/>
    <col min="5" max="5" width="10.140625" style="91" customWidth="1"/>
    <col min="6" max="6" width="9.5703125" style="91" bestFit="1" customWidth="1"/>
    <col min="7" max="7" width="10.7109375" style="91" customWidth="1"/>
    <col min="8" max="9" width="10.5703125" style="91" bestFit="1" customWidth="1"/>
    <col min="10" max="10" width="7.42578125" style="91" bestFit="1" customWidth="1"/>
    <col min="11" max="11" width="10.5703125" style="91" customWidth="1"/>
    <col min="12" max="12" width="10.42578125" style="91" customWidth="1"/>
    <col min="13" max="13" width="9.28515625" style="91" bestFit="1" customWidth="1"/>
    <col min="14" max="14" width="10.28515625" style="91" customWidth="1"/>
    <col min="15" max="15" width="9.28515625" style="91" bestFit="1" customWidth="1"/>
    <col min="16" max="16" width="9.140625" style="91" customWidth="1"/>
    <col min="17" max="18" width="9.28515625" style="91" bestFit="1" customWidth="1"/>
    <col min="19" max="16384" width="9.140625" style="91"/>
  </cols>
  <sheetData>
    <row r="2" spans="2:20" ht="13.5" thickBot="1" x14ac:dyDescent="0.25">
      <c r="B2" s="64" t="s">
        <v>227</v>
      </c>
      <c r="C2" s="241"/>
      <c r="D2" s="241"/>
      <c r="E2" s="241"/>
      <c r="F2" s="241"/>
    </row>
    <row r="3" spans="2:20" x14ac:dyDescent="0.2">
      <c r="B3" s="242"/>
      <c r="C3" s="62">
        <v>2012</v>
      </c>
      <c r="D3" s="63">
        <f>'[4]Data SK June 2016'!C2</f>
        <v>2013</v>
      </c>
      <c r="E3" s="63">
        <f>'[4]Data SK June 2016'!D2</f>
        <v>2014</v>
      </c>
      <c r="F3" s="63">
        <f>'[4]Data SK June 2016'!E2</f>
        <v>2015</v>
      </c>
    </row>
    <row r="4" spans="2:20" x14ac:dyDescent="0.2">
      <c r="B4" s="1" t="str">
        <f>'[4]Data SK June 2016'!A3</f>
        <v>Makroekonomické predpoklady</v>
      </c>
      <c r="C4" s="243"/>
      <c r="D4" s="243"/>
      <c r="E4" s="243"/>
      <c r="F4" s="243"/>
    </row>
    <row r="5" spans="2:20" x14ac:dyDescent="0.2">
      <c r="B5" s="244" t="str">
        <f>'[4]Data SK June 2016'!A4</f>
        <v>Potencialny rast HDP (v %)</v>
      </c>
      <c r="C5" s="245">
        <v>2.3747736134164033</v>
      </c>
      <c r="D5" s="245">
        <v>2.0959946198143786</v>
      </c>
      <c r="E5" s="245">
        <v>2.3728080814389596</v>
      </c>
      <c r="F5" s="245">
        <v>2.9688900533580309</v>
      </c>
      <c r="L5" s="105"/>
    </row>
    <row r="6" spans="2:20" x14ac:dyDescent="0.2">
      <c r="B6" s="244" t="str">
        <f>'[4]Data SK June 2016'!A5</f>
        <v>HDP deflátor (v %)</v>
      </c>
      <c r="C6" s="245">
        <v>1.2631714817151973</v>
      </c>
      <c r="D6" s="245">
        <v>0.51865972929958648</v>
      </c>
      <c r="E6" s="245">
        <v>-0.18059182645471239</v>
      </c>
      <c r="F6" s="245">
        <v>-0.26322562211781309</v>
      </c>
      <c r="P6" s="237"/>
      <c r="Q6" s="237"/>
      <c r="R6" s="237"/>
      <c r="S6" s="237"/>
      <c r="T6" s="237"/>
    </row>
    <row r="7" spans="2:20" x14ac:dyDescent="0.2">
      <c r="B7" s="246" t="str">
        <f>'[4]Data SK June 2016'!A6</f>
        <v>HDP v bežných cenách</v>
      </c>
      <c r="C7" s="247">
        <f>ŠS!C34</f>
        <v>72703.513000000006</v>
      </c>
      <c r="D7" s="247">
        <f>ŠS!D34</f>
        <v>74169.873000000007</v>
      </c>
      <c r="E7" s="247">
        <f>ŠS!E34</f>
        <v>75946.358999999997</v>
      </c>
      <c r="F7" s="247">
        <f>ŠS!F34</f>
        <v>78685.607999999993</v>
      </c>
      <c r="Q7" s="235"/>
      <c r="R7" s="235"/>
      <c r="S7" s="235"/>
      <c r="T7" s="235"/>
    </row>
    <row r="8" spans="2:20" x14ac:dyDescent="0.2">
      <c r="B8" s="1" t="str">
        <f>'[4]Data SK June 2016'!A7</f>
        <v>Výdavkový agregát</v>
      </c>
      <c r="C8" s="248"/>
      <c r="D8" s="248"/>
      <c r="E8" s="248"/>
      <c r="F8" s="248"/>
      <c r="Q8" s="236"/>
      <c r="R8" s="236"/>
      <c r="S8" s="236"/>
      <c r="T8" s="236"/>
    </row>
    <row r="9" spans="2:20" x14ac:dyDescent="0.2">
      <c r="B9" s="249" t="str">
        <f>'[4]Data SK June 2016'!A8</f>
        <v>1. Celkové výdavky</v>
      </c>
      <c r="C9" s="250">
        <f>ŠS!C36</f>
        <v>29539.480999999996</v>
      </c>
      <c r="D9" s="250">
        <f>ŠS!D36</f>
        <v>30736.550999999996</v>
      </c>
      <c r="E9" s="250">
        <f>ŠS!E36</f>
        <v>31910.616000000002</v>
      </c>
      <c r="F9" s="250">
        <f>ŠS!F36-33.5</f>
        <v>35831.785999999993</v>
      </c>
      <c r="Q9" s="237"/>
      <c r="R9" s="237"/>
      <c r="S9" s="237"/>
      <c r="T9" s="237"/>
    </row>
    <row r="10" spans="2:20" x14ac:dyDescent="0.2">
      <c r="B10" s="251" t="str">
        <f>'[4]Data SK June 2016'!A9</f>
        <v>2.   Úrokové náklady</v>
      </c>
      <c r="C10" s="252">
        <v>1283.2670000000001</v>
      </c>
      <c r="D10" s="252">
        <v>1387.038</v>
      </c>
      <c r="E10" s="252">
        <v>1443.6010000000001</v>
      </c>
      <c r="F10" s="252">
        <v>1379.4069999999999</v>
      </c>
      <c r="Q10" s="237"/>
      <c r="R10" s="237"/>
      <c r="S10" s="237"/>
      <c r="T10" s="237"/>
    </row>
    <row r="11" spans="2:20" x14ac:dyDescent="0.2">
      <c r="B11" s="253" t="str">
        <f>'[4]Data SK June 2016'!A10</f>
        <v>3.   Výdavky kryté EÚ zdrojmi (celkové)</v>
      </c>
      <c r="C11" s="252">
        <f t="shared" ref="C11:F12" si="0">G53</f>
        <v>976.24300000000005</v>
      </c>
      <c r="D11" s="252">
        <f t="shared" si="0"/>
        <v>1212.5039999999999</v>
      </c>
      <c r="E11" s="252">
        <f t="shared" si="0"/>
        <v>1280.576</v>
      </c>
      <c r="F11" s="252">
        <f t="shared" si="0"/>
        <v>2788.8150000000001</v>
      </c>
      <c r="Q11" s="237"/>
      <c r="R11" s="237"/>
      <c r="S11" s="237"/>
      <c r="T11" s="237"/>
    </row>
    <row r="12" spans="2:20" x14ac:dyDescent="0.2">
      <c r="B12" s="254" t="str">
        <f>'[4]Data SK June 2016'!A11</f>
        <v>z toho: Výdavky kryté EÚ zdrojmi (kapitálové)</v>
      </c>
      <c r="C12" s="252">
        <f t="shared" si="0"/>
        <v>812.41600000000005</v>
      </c>
      <c r="D12" s="252">
        <f t="shared" si="0"/>
        <v>969.77099999999996</v>
      </c>
      <c r="E12" s="252">
        <f t="shared" si="0"/>
        <v>970.53899999999999</v>
      </c>
      <c r="F12" s="252">
        <f t="shared" si="0"/>
        <v>2345.375</v>
      </c>
      <c r="Q12" s="237"/>
      <c r="R12" s="237"/>
      <c r="S12" s="237"/>
      <c r="T12" s="237"/>
    </row>
    <row r="13" spans="2:20" x14ac:dyDescent="0.2">
      <c r="B13" s="254" t="str">
        <f>'[4]Data SK June 2016'!A12</f>
        <v>4.   Kapitálové výdavky kryté národnými zdrojmi</v>
      </c>
      <c r="C13" s="252">
        <f>G56</f>
        <v>1623.395</v>
      </c>
      <c r="D13" s="252">
        <f>H56</f>
        <v>1496.309</v>
      </c>
      <c r="E13" s="252">
        <f>I56</f>
        <v>2052.8710000000001</v>
      </c>
      <c r="F13" s="252">
        <f>J56</f>
        <v>2605.2700000000004</v>
      </c>
      <c r="Q13" s="238"/>
      <c r="R13" s="238"/>
      <c r="S13" s="239"/>
      <c r="T13" s="239"/>
    </row>
    <row r="14" spans="2:20" x14ac:dyDescent="0.2">
      <c r="B14" s="254" t="str">
        <f>'[4]Data SK June 2016'!A13</f>
        <v>5.   Vyhladené kapitálové výdavky (nár. zdroje 4-ročný pohyblivý priemer)</v>
      </c>
      <c r="C14" s="252">
        <f>AVERAGE(D56:G56)</f>
        <v>1837.5255000000002</v>
      </c>
      <c r="D14" s="252">
        <f>AVERAGE(E56:H56)</f>
        <v>1686.18875</v>
      </c>
      <c r="E14" s="252">
        <f>AVERAGE(F56:I56)</f>
        <v>1747.7940000000001</v>
      </c>
      <c r="F14" s="252">
        <f>AVERAGE(G56:J56)</f>
        <v>1944.4612500000001</v>
      </c>
      <c r="H14" s="163"/>
      <c r="Q14" s="237"/>
      <c r="R14" s="237"/>
      <c r="S14" s="238"/>
      <c r="T14" s="238"/>
    </row>
    <row r="15" spans="2:20" x14ac:dyDescent="0.2">
      <c r="B15" s="254" t="str">
        <f>'[4]Data SK June 2016'!A14</f>
        <v>6.   Cyklické výdavky na dávky v nezamestnanosti</v>
      </c>
      <c r="C15" s="252">
        <f>'[5]2016nov_chart'!$G$2</f>
        <v>4.9099063302157768</v>
      </c>
      <c r="D15" s="252">
        <f>'[5]2016nov_chart'!$G$3</f>
        <v>18.261249913653515</v>
      </c>
      <c r="E15" s="252">
        <f>'[5]2016nov_chart'!$G$4</f>
        <v>15.725404854708852</v>
      </c>
      <c r="F15" s="252">
        <f>'[5]2016nov_chart'!$G$5</f>
        <v>9.9024356525162425</v>
      </c>
      <c r="Q15" s="237"/>
      <c r="R15" s="237"/>
      <c r="S15" s="237"/>
      <c r="T15" s="237"/>
    </row>
    <row r="16" spans="2:20" x14ac:dyDescent="0.2">
      <c r="B16" s="254" t="str">
        <f>'[4]Data SK June 2016'!A15</f>
        <v xml:space="preserve">7.   Výdavky plne kryté automatickým zvýšením príjmov </v>
      </c>
      <c r="C16" s="252">
        <v>0</v>
      </c>
      <c r="D16" s="252">
        <v>0</v>
      </c>
      <c r="E16" s="252">
        <v>0</v>
      </c>
      <c r="F16" s="252">
        <v>0</v>
      </c>
      <c r="Q16" s="240"/>
      <c r="R16" s="240"/>
      <c r="S16" s="237"/>
      <c r="T16" s="237"/>
    </row>
    <row r="17" spans="2:25" x14ac:dyDescent="0.2">
      <c r="B17" s="254" t="str">
        <f>'[4]Data SK June 2016'!A16</f>
        <v>8.  Vplyv zaradenia nových subjektov do sektora verejnej správy (DP)</v>
      </c>
      <c r="C17" s="252">
        <v>0</v>
      </c>
      <c r="D17" s="252">
        <v>0</v>
      </c>
      <c r="E17" s="252">
        <v>190.28790485470745</v>
      </c>
      <c r="F17" s="252">
        <v>208.96843565251402</v>
      </c>
      <c r="Q17" s="237"/>
      <c r="R17" s="237"/>
      <c r="S17" s="237"/>
      <c r="T17" s="237"/>
    </row>
    <row r="18" spans="2:25" ht="13.5" thickBot="1" x14ac:dyDescent="0.25">
      <c r="B18" s="2" t="str">
        <f>'[4]Data SK June 2016'!A17</f>
        <v>9. Primárny výdavkový agregát (1-2-3+4-5-6-7-8)</v>
      </c>
      <c r="C18" s="144">
        <f>C9-C10-C11-C13-C15-C16+C14-C17</f>
        <v>27489.191593669781</v>
      </c>
      <c r="D18" s="144">
        <f t="shared" ref="D18" si="1">D9-D10-D11-D13-D15-D16+D14-D17</f>
        <v>28308.627500086342</v>
      </c>
      <c r="E18" s="144">
        <f>E9-E10-E11-E13-E15-E16+E14-E17</f>
        <v>28675.34869029059</v>
      </c>
      <c r="F18" s="144">
        <f>F9-F10-F11-F13-F15-F16+F14-F17</f>
        <v>30783.884378694966</v>
      </c>
    </row>
    <row r="19" spans="2:25" x14ac:dyDescent="0.2">
      <c r="B19" s="255" t="str">
        <f>'[4]Data SK June 2016'!A18</f>
        <v>10. Medziročná zmena primárneho výdavkového agregátu (9t-9t-1)</v>
      </c>
      <c r="C19" s="252"/>
      <c r="D19" s="252">
        <f>D18-C18</f>
        <v>819.43590641656192</v>
      </c>
      <c r="E19" s="252">
        <f>E18-D18</f>
        <v>366.72119020424725</v>
      </c>
      <c r="F19" s="252">
        <f>F18-E18</f>
        <v>2108.5356884043758</v>
      </c>
    </row>
    <row r="20" spans="2:25" x14ac:dyDescent="0.2">
      <c r="B20" s="256" t="str">
        <f>'[4]Data SK June 2016'!A19</f>
        <v>11. Zmena v príjmoch z titulu diskrečných príjmových opatrení</v>
      </c>
      <c r="C20" s="252"/>
      <c r="D20" s="252">
        <f>DRM!H38</f>
        <v>1137.3090351668998</v>
      </c>
      <c r="E20" s="252">
        <f>DRM!I38</f>
        <v>-29.897010648782615</v>
      </c>
      <c r="F20" s="252">
        <f>DRM!J38</f>
        <v>108.88781282743241</v>
      </c>
      <c r="H20" s="163"/>
    </row>
    <row r="21" spans="2:25" x14ac:dyDescent="0.2">
      <c r="B21" s="257" t="str">
        <f>'[4]Data SK June 2016'!A20</f>
        <v>12. Nominálny rast agregátu výdavkov očisteného o príjmové opatrenia ((10t-11t)/9t-1)</v>
      </c>
      <c r="C21" s="258"/>
      <c r="D21" s="258">
        <f>(D19-D20)/C18*100</f>
        <v>-1.156356772687116</v>
      </c>
      <c r="E21" s="258">
        <f>(E19-E20)/D18*100</f>
        <v>1.4010506191153922</v>
      </c>
      <c r="F21" s="258">
        <f>(F19-F20)/E18*100</f>
        <v>6.9734038709493351</v>
      </c>
    </row>
    <row r="22" spans="2:25" s="110" customFormat="1" x14ac:dyDescent="0.2">
      <c r="B22" s="257" t="str">
        <f>'[4]Data SK June 2016'!A21</f>
        <v>13. Medziročná zmena deflátoru</v>
      </c>
      <c r="C22" s="258"/>
      <c r="D22" s="258">
        <f>D6</f>
        <v>0.51865972929958648</v>
      </c>
      <c r="E22" s="258">
        <f>E6</f>
        <v>-0.18059182645471239</v>
      </c>
      <c r="F22" s="258">
        <f t="shared" ref="F22" si="2">F6</f>
        <v>-0.26322562211781309</v>
      </c>
      <c r="P22" s="91"/>
      <c r="Q22" s="91"/>
      <c r="R22" s="91"/>
      <c r="S22" s="91"/>
      <c r="T22" s="91"/>
      <c r="U22" s="91"/>
      <c r="V22" s="91"/>
      <c r="W22" s="91"/>
      <c r="X22" s="91"/>
      <c r="Y22" s="91"/>
    </row>
    <row r="23" spans="2:25" x14ac:dyDescent="0.2">
      <c r="B23" s="259" t="str">
        <f>'[4]Data SK June 2016'!A22</f>
        <v>14. Reálny rast agregátu výdavkov očist. o príjmové opatrenia (12-13)</v>
      </c>
      <c r="C23" s="157"/>
      <c r="D23" s="157">
        <f>D21-D22</f>
        <v>-1.6750165019867025</v>
      </c>
      <c r="E23" s="157">
        <f>E21-E22</f>
        <v>1.5816424455701046</v>
      </c>
      <c r="F23" s="157">
        <f>F21-F22</f>
        <v>7.2366294930671486</v>
      </c>
      <c r="I23" s="233"/>
    </row>
    <row r="24" spans="2:25" x14ac:dyDescent="0.2">
      <c r="B24" s="260" t="str">
        <f>'[4]Data SK June 2016'!A23</f>
        <v>15. Miera potencionálneho rastu HDP</v>
      </c>
      <c r="C24" s="258"/>
      <c r="D24" s="258">
        <f>D5</f>
        <v>2.0959946198143786</v>
      </c>
      <c r="E24" s="258">
        <f t="shared" ref="E24" si="3">E5</f>
        <v>2.3728080814389596</v>
      </c>
      <c r="F24" s="258">
        <f>F5</f>
        <v>2.9688900533580309</v>
      </c>
    </row>
    <row r="25" spans="2:25" ht="13.5" thickBot="1" x14ac:dyDescent="0.25">
      <c r="B25" s="257" t="str">
        <f>'[4]Data SK June 2016'!A24</f>
        <v>16. Zníženie rastu výdavkov - zmena štrukturálneho salda/ ((1t-1- 2t-1)/HDPt-1)</v>
      </c>
      <c r="C25" s="258"/>
      <c r="D25" s="258">
        <f>D31/((C9-C10)/C7)</f>
        <v>1.9773716084028676</v>
      </c>
      <c r="E25" s="258">
        <f t="shared" ref="E25:F25" si="4">E31/((D9-D10)/D7)</f>
        <v>1.942108571321628</v>
      </c>
      <c r="F25" s="258">
        <f t="shared" si="4"/>
        <v>1.9156842136990719</v>
      </c>
      <c r="G25" s="194"/>
      <c r="H25" s="194"/>
      <c r="I25" s="194"/>
    </row>
    <row r="26" spans="2:25" ht="13.5" thickBot="1" x14ac:dyDescent="0.25">
      <c r="B26" s="142" t="str">
        <f>'[4]Data SK June 2016'!A25</f>
        <v>17. Výdavkové pravidlo (15-16)</v>
      </c>
      <c r="C26" s="145"/>
      <c r="D26" s="145">
        <f>D24-D25</f>
        <v>0.11862301141151099</v>
      </c>
      <c r="E26" s="145">
        <f>E24-E25</f>
        <v>0.43069951011733165</v>
      </c>
      <c r="F26" s="145">
        <f>F24-F25</f>
        <v>1.053205839658959</v>
      </c>
      <c r="G26" s="110"/>
    </row>
    <row r="27" spans="2:25" x14ac:dyDescent="0.2">
      <c r="B27" s="139" t="s">
        <v>127</v>
      </c>
      <c r="C27" s="146"/>
      <c r="D27" s="147">
        <f>((D26-D23)/100*C18)/D7*100</f>
        <v>0.66476721935037053</v>
      </c>
      <c r="E27" s="147">
        <f>((E26-E23)/100*D18)/E7*100</f>
        <v>-0.42900825349097343</v>
      </c>
      <c r="F27" s="147">
        <f>((F26-F23)/100*E18)/F7*100</f>
        <v>-2.2534213545286499</v>
      </c>
      <c r="G27" s="157"/>
    </row>
    <row r="28" spans="2:25" ht="13.5" thickBot="1" x14ac:dyDescent="0.25">
      <c r="B28" s="3" t="s">
        <v>192</v>
      </c>
      <c r="C28" s="143"/>
      <c r="D28" s="143" t="str">
        <f>IF(D27&gt;=0,"áno","nie")</f>
        <v>áno</v>
      </c>
      <c r="E28" s="143" t="str">
        <f>IF(E27&gt;=0,"áno","nie")</f>
        <v>nie</v>
      </c>
      <c r="F28" s="143" t="str">
        <f t="shared" ref="F28:F30" si="5">IF(F27&gt;=0,"áno","nie")</f>
        <v>nie</v>
      </c>
      <c r="G28" s="110"/>
    </row>
    <row r="29" spans="2:25" x14ac:dyDescent="0.2">
      <c r="B29" s="140" t="s">
        <v>190</v>
      </c>
      <c r="C29" s="148"/>
      <c r="D29" s="149" t="s">
        <v>193</v>
      </c>
      <c r="E29" s="150">
        <f>SUM(D27:E27)</f>
        <v>0.2357589658593971</v>
      </c>
      <c r="F29" s="150">
        <f>SUM(D27:F27)</f>
        <v>-2.0176623886692528</v>
      </c>
    </row>
    <row r="30" spans="2:25" x14ac:dyDescent="0.2">
      <c r="B30" s="141" t="s">
        <v>191</v>
      </c>
      <c r="C30" s="151"/>
      <c r="D30" s="151" t="s">
        <v>193</v>
      </c>
      <c r="E30" s="151" t="str">
        <f>IF(E29&gt;=0,"áno","nie")</f>
        <v>áno</v>
      </c>
      <c r="F30" s="151" t="str">
        <f t="shared" si="5"/>
        <v>nie</v>
      </c>
    </row>
    <row r="31" spans="2:25" x14ac:dyDescent="0.2">
      <c r="B31" s="261" t="s">
        <v>194</v>
      </c>
      <c r="C31" s="262"/>
      <c r="D31" s="262">
        <f>ŠS!D42</f>
        <v>0.76850530351340263</v>
      </c>
      <c r="E31" s="262">
        <f>ŠS!E42</f>
        <v>0.76850530351340263</v>
      </c>
      <c r="F31" s="262">
        <f>ŠS!F42</f>
        <v>0.76850530351340263</v>
      </c>
      <c r="H31" s="163"/>
    </row>
    <row r="32" spans="2:25" x14ac:dyDescent="0.2">
      <c r="C32" s="263"/>
      <c r="E32" s="388" t="s">
        <v>57</v>
      </c>
      <c r="F32" s="388"/>
    </row>
    <row r="33" spans="2:8" x14ac:dyDescent="0.2">
      <c r="B33" s="4" t="str">
        <f>'[4]Data SK June 2016'!A32</f>
        <v xml:space="preserve"> Zohľadnenie dodatočných faktorov (v % HDP)</v>
      </c>
      <c r="C33" s="264"/>
      <c r="D33" s="265"/>
      <c r="E33" s="265"/>
      <c r="F33" s="265"/>
    </row>
    <row r="34" spans="2:8" x14ac:dyDescent="0.2">
      <c r="B34" s="266" t="s">
        <v>63</v>
      </c>
      <c r="C34" s="267"/>
      <c r="D34" s="267">
        <f>VP_faktory!C6</f>
        <v>0.28583033976612038</v>
      </c>
      <c r="E34" s="267">
        <f>VP_faktory!D6</f>
        <v>0.51220361992600594</v>
      </c>
      <c r="F34" s="267">
        <f>VP_faktory!E6</f>
        <v>0.16140181569163195</v>
      </c>
      <c r="H34" s="163"/>
    </row>
    <row r="35" spans="2:8" x14ac:dyDescent="0.2">
      <c r="B35" s="266" t="s">
        <v>137</v>
      </c>
      <c r="C35" s="267"/>
      <c r="D35" s="267">
        <f>VP_faktory!C7</f>
        <v>-2.5112908840692359E-2</v>
      </c>
      <c r="E35" s="267">
        <f>VP_faktory!D7</f>
        <v>0.33428892043667702</v>
      </c>
      <c r="F35" s="267">
        <f>VP_faktory!E7</f>
        <v>5.7223064746979704E-2</v>
      </c>
    </row>
    <row r="36" spans="2:8" ht="13.5" thickBot="1" x14ac:dyDescent="0.25">
      <c r="B36" s="266" t="s">
        <v>0</v>
      </c>
      <c r="C36" s="267"/>
      <c r="D36" s="268">
        <f>VP_faktory!C8</f>
        <v>0</v>
      </c>
      <c r="E36" s="268">
        <f>VP_faktory!D8</f>
        <v>3.9501564518715114E-3</v>
      </c>
      <c r="F36" s="268">
        <f>VP_faktory!E8</f>
        <v>0.39016029462465363</v>
      </c>
    </row>
    <row r="37" spans="2:8" x14ac:dyDescent="0.2">
      <c r="B37" s="140" t="str">
        <f>'[4]Data SK June 2016'!A36</f>
        <v>Odchýlka od výdavkového pravidla v % HDP - po zohľadnení dodatočných faktorov</v>
      </c>
      <c r="C37" s="150"/>
      <c r="D37" s="147">
        <f>D27+D34+D35+D36</f>
        <v>0.92548465027579851</v>
      </c>
      <c r="E37" s="147">
        <f>E27+E34+E35+E36</f>
        <v>0.42143444332358104</v>
      </c>
      <c r="F37" s="147">
        <f>F27+F34+F35+F36</f>
        <v>-1.6446361794653843</v>
      </c>
    </row>
    <row r="38" spans="2:8" ht="13.5" thickBot="1" x14ac:dyDescent="0.25">
      <c r="B38" s="3" t="str">
        <f>'[4]Data SK June 2016'!A37</f>
        <v>Splnenie výdavkového benchmarku po zohľadnení dodatočných faktorov</v>
      </c>
      <c r="C38" s="143"/>
      <c r="D38" s="143" t="str">
        <f>IF(D37&gt;=0,"áno","nie")</f>
        <v>áno</v>
      </c>
      <c r="E38" s="143" t="str">
        <f t="shared" ref="E38:F38" si="6">IF(E37&gt;=0,"áno","nie")</f>
        <v>áno</v>
      </c>
      <c r="F38" s="143" t="str">
        <f t="shared" si="6"/>
        <v>nie</v>
      </c>
    </row>
    <row r="39" spans="2:8" x14ac:dyDescent="0.2">
      <c r="B39" s="152" t="str">
        <f>'[4]Data SK June 2016'!A38</f>
        <v>Kumulatívna odchýlka od výdavkového pravidla t až t-2 (v % HDP)</v>
      </c>
      <c r="C39" s="153"/>
      <c r="D39" s="154"/>
      <c r="E39" s="155">
        <f>SUM(D37:E37)</f>
        <v>1.3469190935993796</v>
      </c>
      <c r="F39" s="155">
        <f>SUM(D37:F37)</f>
        <v>-0.29771708586600476</v>
      </c>
    </row>
    <row r="40" spans="2:8" x14ac:dyDescent="0.2">
      <c r="B40" s="141" t="s">
        <v>195</v>
      </c>
      <c r="C40" s="151"/>
      <c r="D40" s="151" t="s">
        <v>193</v>
      </c>
      <c r="E40" s="151" t="str">
        <f>IF(E39&gt;=0,"áno","nie")</f>
        <v>áno</v>
      </c>
      <c r="F40" s="151" t="str">
        <f>IF(F39&gt;=0,"áno","nie")</f>
        <v>nie</v>
      </c>
    </row>
    <row r="41" spans="2:8" x14ac:dyDescent="0.2">
      <c r="C41" s="263"/>
      <c r="E41" s="388" t="s">
        <v>57</v>
      </c>
      <c r="F41" s="388"/>
    </row>
    <row r="43" spans="2:8" x14ac:dyDescent="0.2">
      <c r="B43" s="159" t="s">
        <v>228</v>
      </c>
      <c r="C43" s="237"/>
      <c r="D43" s="171"/>
      <c r="E43" s="171"/>
    </row>
    <row r="44" spans="2:8" x14ac:dyDescent="0.2">
      <c r="B44" s="131" t="s">
        <v>113</v>
      </c>
      <c r="C44" s="132" t="s">
        <v>187</v>
      </c>
      <c r="D44" s="131" t="s">
        <v>184</v>
      </c>
      <c r="E44" s="133" t="s">
        <v>181</v>
      </c>
    </row>
    <row r="45" spans="2:8" x14ac:dyDescent="0.2">
      <c r="B45" s="130" t="s">
        <v>13</v>
      </c>
      <c r="C45" s="134">
        <v>-2.0486390661493874</v>
      </c>
      <c r="D45" s="134">
        <f>'Celkove hodnotenie'!F13</f>
        <v>-2.2534213545286499</v>
      </c>
      <c r="E45" s="134">
        <f>D45-C45</f>
        <v>-0.20478228837926249</v>
      </c>
    </row>
    <row r="46" spans="2:8" x14ac:dyDescent="0.2">
      <c r="B46" s="130" t="s">
        <v>15</v>
      </c>
      <c r="C46" s="134">
        <v>-2.2751831033889012</v>
      </c>
      <c r="D46" s="134">
        <f>'Celkove hodnotenie'!F14</f>
        <v>-2.0176623886692528</v>
      </c>
      <c r="E46" s="134">
        <f>D46-C46</f>
        <v>0.25752071471964832</v>
      </c>
    </row>
    <row r="47" spans="2:8" x14ac:dyDescent="0.2">
      <c r="B47" s="135" t="s">
        <v>182</v>
      </c>
      <c r="C47" s="136"/>
      <c r="D47" s="136"/>
      <c r="E47" s="136"/>
    </row>
    <row r="48" spans="2:8" x14ac:dyDescent="0.2">
      <c r="B48" s="130" t="s">
        <v>247</v>
      </c>
      <c r="C48" s="134">
        <v>-0.46084712668222527</v>
      </c>
      <c r="D48" s="134">
        <f>'Celkove hodnotenie'!F19</f>
        <v>-0.29771708586600476</v>
      </c>
      <c r="E48" s="134">
        <f>D48-C48</f>
        <v>0.16313004081622051</v>
      </c>
    </row>
    <row r="50" spans="2:18" x14ac:dyDescent="0.2">
      <c r="B50" s="269" t="s">
        <v>229</v>
      </c>
      <c r="L50" s="269" t="s">
        <v>246</v>
      </c>
    </row>
    <row r="51" spans="2:18" ht="13.5" thickBot="1" x14ac:dyDescent="0.25">
      <c r="B51" s="64"/>
      <c r="C51" s="270"/>
      <c r="D51" s="270">
        <v>2009</v>
      </c>
      <c r="E51" s="270">
        <v>2010</v>
      </c>
      <c r="F51" s="270">
        <v>2011</v>
      </c>
      <c r="G51" s="270">
        <v>2012</v>
      </c>
      <c r="H51" s="270">
        <v>2013</v>
      </c>
      <c r="I51" s="270">
        <v>2014</v>
      </c>
      <c r="J51" s="270">
        <v>2015</v>
      </c>
      <c r="L51" s="412">
        <v>2009</v>
      </c>
      <c r="M51" s="412">
        <v>2010</v>
      </c>
      <c r="N51" s="412">
        <v>2011</v>
      </c>
      <c r="O51" s="412">
        <v>2012</v>
      </c>
      <c r="P51" s="412">
        <v>2013</v>
      </c>
      <c r="Q51" s="412">
        <v>2014</v>
      </c>
      <c r="R51" s="412">
        <v>2015</v>
      </c>
    </row>
    <row r="52" spans="2:18" x14ac:dyDescent="0.2">
      <c r="B52" s="271" t="s">
        <v>128</v>
      </c>
      <c r="C52" s="272"/>
      <c r="D52" s="272">
        <v>2486.96</v>
      </c>
      <c r="E52" s="272">
        <v>2441.0880000000002</v>
      </c>
      <c r="F52" s="272">
        <v>2691.759</v>
      </c>
      <c r="G52" s="272">
        <v>2435.8110000000001</v>
      </c>
      <c r="H52" s="272">
        <v>2466.08</v>
      </c>
      <c r="I52" s="272">
        <v>3023.41</v>
      </c>
      <c r="J52" s="273">
        <v>4950.6450000000004</v>
      </c>
      <c r="L52" s="413">
        <f>D52</f>
        <v>2486.96</v>
      </c>
      <c r="M52" s="272">
        <f>E52</f>
        <v>2441.0880000000002</v>
      </c>
      <c r="N52" s="272">
        <f t="shared" ref="N52" si="7">F52</f>
        <v>2691.759</v>
      </c>
      <c r="O52" s="272">
        <f t="shared" ref="O52" si="8">G52</f>
        <v>2435.8110000000001</v>
      </c>
      <c r="P52" s="272">
        <f t="shared" ref="P52" si="9">H52</f>
        <v>2466.08</v>
      </c>
      <c r="Q52" s="272">
        <f>I52-([6]S_2014_!$N$280/1000)</f>
        <v>2958.6819999999998</v>
      </c>
      <c r="R52" s="273">
        <f>J52-([6]S_2015!$N$280/1000)</f>
        <v>4716.2040000000006</v>
      </c>
    </row>
    <row r="53" spans="2:18" x14ac:dyDescent="0.2">
      <c r="B53" s="274" t="s">
        <v>129</v>
      </c>
      <c r="C53" s="275"/>
      <c r="D53" s="275">
        <f>SUM(D54:D55)</f>
        <v>509.50399999999996</v>
      </c>
      <c r="E53" s="275">
        <f t="shared" ref="E53:J53" si="10">SUM(E54:E55)</f>
        <v>833.66399999999999</v>
      </c>
      <c r="F53" s="275">
        <f t="shared" si="10"/>
        <v>1018.982</v>
      </c>
      <c r="G53" s="275">
        <f t="shared" si="10"/>
        <v>976.24300000000005</v>
      </c>
      <c r="H53" s="275">
        <f t="shared" si="10"/>
        <v>1212.5039999999999</v>
      </c>
      <c r="I53" s="275">
        <f t="shared" si="10"/>
        <v>1280.576</v>
      </c>
      <c r="J53" s="276">
        <f t="shared" si="10"/>
        <v>2788.8150000000001</v>
      </c>
      <c r="L53" s="414">
        <f t="shared" ref="L53" si="11">SUM(L54:L55)</f>
        <v>509.50399999999996</v>
      </c>
      <c r="M53" s="275">
        <f t="shared" ref="M53:P53" si="12">SUM(M54:M55)</f>
        <v>833.66399999999999</v>
      </c>
      <c r="N53" s="275">
        <f t="shared" si="12"/>
        <v>1018.982</v>
      </c>
      <c r="O53" s="275">
        <f t="shared" si="12"/>
        <v>976.24300000000005</v>
      </c>
      <c r="P53" s="275">
        <f t="shared" si="12"/>
        <v>1212.5039999999999</v>
      </c>
      <c r="Q53" s="275">
        <f>SUM(Q54:Q55)</f>
        <v>1280.576</v>
      </c>
      <c r="R53" s="276">
        <f>SUM(R54:R55)</f>
        <v>2788.8150000000001</v>
      </c>
    </row>
    <row r="54" spans="2:18" x14ac:dyDescent="0.2">
      <c r="B54" s="277" t="s">
        <v>130</v>
      </c>
      <c r="C54" s="275"/>
      <c r="D54" s="275">
        <v>385.30399999999997</v>
      </c>
      <c r="E54" s="275">
        <v>634.63800000000003</v>
      </c>
      <c r="F54" s="275">
        <v>873.15800000000002</v>
      </c>
      <c r="G54" s="275">
        <v>812.41600000000005</v>
      </c>
      <c r="H54" s="275">
        <v>969.77099999999996</v>
      </c>
      <c r="I54" s="275">
        <v>970.53899999999999</v>
      </c>
      <c r="J54" s="276">
        <v>2345.375</v>
      </c>
      <c r="L54" s="414">
        <f>D54</f>
        <v>385.30399999999997</v>
      </c>
      <c r="M54" s="275">
        <f>E54</f>
        <v>634.63800000000003</v>
      </c>
      <c r="N54" s="275">
        <f>F54</f>
        <v>873.15800000000002</v>
      </c>
      <c r="O54" s="275">
        <f>G54</f>
        <v>812.41600000000005</v>
      </c>
      <c r="P54" s="275">
        <f>H54</f>
        <v>969.77099999999996</v>
      </c>
      <c r="Q54" s="275">
        <f>I54-$M$12</f>
        <v>970.53899999999999</v>
      </c>
      <c r="R54" s="276">
        <f>J54-$N$12</f>
        <v>2345.375</v>
      </c>
    </row>
    <row r="55" spans="2:18" x14ac:dyDescent="0.2">
      <c r="B55" s="277" t="s">
        <v>186</v>
      </c>
      <c r="C55" s="275"/>
      <c r="D55" s="275">
        <v>124.2</v>
      </c>
      <c r="E55" s="275">
        <v>199.02600000000001</v>
      </c>
      <c r="F55" s="275">
        <v>145.82400000000001</v>
      </c>
      <c r="G55" s="275">
        <v>163.827</v>
      </c>
      <c r="H55" s="275">
        <v>242.733</v>
      </c>
      <c r="I55" s="275">
        <v>310.03699999999998</v>
      </c>
      <c r="J55" s="276">
        <v>443.44</v>
      </c>
      <c r="L55" s="414">
        <f>D55</f>
        <v>124.2</v>
      </c>
      <c r="M55" s="275">
        <f>E55</f>
        <v>199.02600000000001</v>
      </c>
      <c r="N55" s="275">
        <f t="shared" ref="N55" si="13">F55</f>
        <v>145.82400000000001</v>
      </c>
      <c r="O55" s="275">
        <f t="shared" ref="O55" si="14">G55</f>
        <v>163.827</v>
      </c>
      <c r="P55" s="275">
        <f>H55</f>
        <v>242.733</v>
      </c>
      <c r="Q55" s="275">
        <f>I55-([6]S_2014_!$N$110/1000)</f>
        <v>310.03699999999998</v>
      </c>
      <c r="R55" s="276">
        <f>J55-([6]S_2015!$N$110/1000)</f>
        <v>443.44</v>
      </c>
    </row>
    <row r="56" spans="2:18" ht="13.5" thickBot="1" x14ac:dyDescent="0.25">
      <c r="B56" s="278" t="s">
        <v>131</v>
      </c>
      <c r="C56" s="279"/>
      <c r="D56" s="279">
        <f t="shared" ref="D56:J56" si="15">D52-D54</f>
        <v>2101.6559999999999</v>
      </c>
      <c r="E56" s="279">
        <f t="shared" si="15"/>
        <v>1806.4500000000003</v>
      </c>
      <c r="F56" s="279">
        <f t="shared" si="15"/>
        <v>1818.6010000000001</v>
      </c>
      <c r="G56" s="279">
        <f t="shared" si="15"/>
        <v>1623.395</v>
      </c>
      <c r="H56" s="279">
        <f t="shared" si="15"/>
        <v>1496.309</v>
      </c>
      <c r="I56" s="279">
        <f t="shared" si="15"/>
        <v>2052.8710000000001</v>
      </c>
      <c r="J56" s="280">
        <f t="shared" si="15"/>
        <v>2605.2700000000004</v>
      </c>
      <c r="L56" s="415">
        <f t="shared" ref="L56" si="16">L52-L54</f>
        <v>2101.6559999999999</v>
      </c>
      <c r="M56" s="279">
        <f t="shared" ref="M56:O56" si="17">M52-M54</f>
        <v>1806.4500000000003</v>
      </c>
      <c r="N56" s="279">
        <f t="shared" si="17"/>
        <v>1818.6010000000001</v>
      </c>
      <c r="O56" s="279">
        <f t="shared" si="17"/>
        <v>1623.395</v>
      </c>
      <c r="P56" s="279">
        <f>P52-P54</f>
        <v>1496.309</v>
      </c>
      <c r="Q56" s="279">
        <f>Q52-Q54</f>
        <v>1988.1429999999998</v>
      </c>
      <c r="R56" s="280">
        <f>R52-R54</f>
        <v>2370.8290000000006</v>
      </c>
    </row>
    <row r="57" spans="2:18" x14ac:dyDescent="0.2">
      <c r="I57" s="164" t="s">
        <v>132</v>
      </c>
      <c r="J57" s="164"/>
      <c r="Q57" s="164" t="s">
        <v>132</v>
      </c>
      <c r="R57" s="164"/>
    </row>
    <row r="58" spans="2:18" x14ac:dyDescent="0.2">
      <c r="C58" s="91"/>
    </row>
    <row r="59" spans="2:18" x14ac:dyDescent="0.2">
      <c r="C59" s="91"/>
    </row>
    <row r="60" spans="2:18" x14ac:dyDescent="0.2">
      <c r="C60" s="91"/>
    </row>
    <row r="61" spans="2:18" x14ac:dyDescent="0.2">
      <c r="C61" s="91"/>
    </row>
    <row r="62" spans="2:18" x14ac:dyDescent="0.2">
      <c r="C62" s="91"/>
    </row>
    <row r="63" spans="2:18" x14ac:dyDescent="0.2">
      <c r="C63" s="91"/>
    </row>
  </sheetData>
  <mergeCells count="2">
    <mergeCell ref="E32:F32"/>
    <mergeCell ref="E41:F41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7"/>
  <dimension ref="B2:F25"/>
  <sheetViews>
    <sheetView showGridLines="0" workbookViewId="0">
      <selection activeCell="A40" sqref="A40"/>
    </sheetView>
  </sheetViews>
  <sheetFormatPr defaultRowHeight="12.75" x14ac:dyDescent="0.2"/>
  <cols>
    <col min="1" max="1" width="15.42578125" style="91" customWidth="1"/>
    <col min="2" max="2" width="52.5703125" style="91" customWidth="1"/>
    <col min="3" max="3" width="9.7109375" style="91" customWidth="1"/>
    <col min="4" max="5" width="12.85546875" style="91" bestFit="1" customWidth="1"/>
    <col min="6" max="16384" width="9.140625" style="91"/>
  </cols>
  <sheetData>
    <row r="2" spans="2:6" ht="13.5" thickBot="1" x14ac:dyDescent="0.25">
      <c r="B2" s="34" t="s">
        <v>230</v>
      </c>
    </row>
    <row r="3" spans="2:6" ht="14.25" thickTop="1" thickBot="1" x14ac:dyDescent="0.25">
      <c r="B3" s="38"/>
      <c r="C3" s="281">
        <v>2013</v>
      </c>
      <c r="D3" s="281">
        <v>2014</v>
      </c>
      <c r="E3" s="281">
        <v>2015</v>
      </c>
    </row>
    <row r="4" spans="2:6" ht="13.5" thickBot="1" x14ac:dyDescent="0.25">
      <c r="B4" s="82" t="s">
        <v>58</v>
      </c>
      <c r="C4" s="282">
        <f>VP!D27</f>
        <v>0.66476721935037053</v>
      </c>
      <c r="D4" s="282">
        <f>VP!E27</f>
        <v>-0.42900825349097343</v>
      </c>
      <c r="E4" s="282">
        <f>VP!F27</f>
        <v>-2.2534213545286499</v>
      </c>
    </row>
    <row r="5" spans="2:6" ht="13.5" thickBot="1" x14ac:dyDescent="0.25">
      <c r="B5" s="283" t="s">
        <v>59</v>
      </c>
      <c r="C5" s="284"/>
      <c r="D5" s="284"/>
      <c r="E5" s="284"/>
    </row>
    <row r="6" spans="2:6" x14ac:dyDescent="0.2">
      <c r="B6" s="285" t="s">
        <v>63</v>
      </c>
      <c r="C6" s="286">
        <f>C17</f>
        <v>0.28583033976612038</v>
      </c>
      <c r="D6" s="286">
        <f t="shared" ref="D6:E6" si="0">D17</f>
        <v>0.51220361992600594</v>
      </c>
      <c r="E6" s="287">
        <f t="shared" si="0"/>
        <v>0.16140181569163195</v>
      </c>
    </row>
    <row r="7" spans="2:6" x14ac:dyDescent="0.2">
      <c r="B7" s="288" t="s">
        <v>137</v>
      </c>
      <c r="C7" s="289">
        <f>('One-offs'!D10-'One-offs'!C10)/ŠS!D34*-100</f>
        <v>-2.5112908840692359E-2</v>
      </c>
      <c r="D7" s="289">
        <f>('One-offs'!E10-'One-offs'!D10)/ŠS!E34*-100</f>
        <v>0.33428892043667702</v>
      </c>
      <c r="E7" s="289">
        <f>('One-offs'!F10-'One-offs'!E10)/ŠS!F34*-100</f>
        <v>5.7223064746979704E-2</v>
      </c>
    </row>
    <row r="8" spans="2:6" ht="13.5" thickBot="1" x14ac:dyDescent="0.25">
      <c r="B8" s="290" t="s">
        <v>0</v>
      </c>
      <c r="C8" s="291">
        <f>C24</f>
        <v>0</v>
      </c>
      <c r="D8" s="291">
        <f t="shared" ref="D8:E8" si="1">D24</f>
        <v>3.9501564518715114E-3</v>
      </c>
      <c r="E8" s="291">
        <f t="shared" si="1"/>
        <v>0.39016029462465363</v>
      </c>
    </row>
    <row r="9" spans="2:6" ht="13.5" thickBot="1" x14ac:dyDescent="0.25">
      <c r="B9" s="71" t="s">
        <v>60</v>
      </c>
      <c r="C9" s="292">
        <f>C4+C6+C7+C8</f>
        <v>0.92548465027579851</v>
      </c>
      <c r="D9" s="292">
        <f>D4+D6+D7+D8</f>
        <v>0.42143444332358104</v>
      </c>
      <c r="E9" s="292">
        <f>E4+E6+E7+E8</f>
        <v>-1.6446361794653843</v>
      </c>
    </row>
    <row r="10" spans="2:6" ht="13.5" thickBot="1" x14ac:dyDescent="0.25">
      <c r="B10" s="71" t="s">
        <v>61</v>
      </c>
      <c r="C10" s="293"/>
      <c r="D10" s="293">
        <f>SUM(C9:D9)</f>
        <v>1.3469190935993796</v>
      </c>
      <c r="E10" s="294">
        <f>SUM(C9:E9)</f>
        <v>-0.29771708586600476</v>
      </c>
    </row>
    <row r="11" spans="2:6" ht="13.5" thickBot="1" x14ac:dyDescent="0.25">
      <c r="B11" s="71" t="s">
        <v>62</v>
      </c>
      <c r="C11" s="295"/>
      <c r="D11" s="295" t="str">
        <f t="shared" ref="D11:E11" si="2">IF(D10&gt;=0,"áno","nie")</f>
        <v>áno</v>
      </c>
      <c r="E11" s="295" t="str">
        <f t="shared" si="2"/>
        <v>nie</v>
      </c>
    </row>
    <row r="12" spans="2:6" x14ac:dyDescent="0.2">
      <c r="D12" s="388" t="s">
        <v>57</v>
      </c>
      <c r="E12" s="388"/>
    </row>
    <row r="14" spans="2:6" x14ac:dyDescent="0.2">
      <c r="B14" s="34" t="s">
        <v>231</v>
      </c>
    </row>
    <row r="15" spans="2:6" x14ac:dyDescent="0.2">
      <c r="B15" s="296"/>
      <c r="C15" s="297">
        <v>2013</v>
      </c>
      <c r="D15" s="297">
        <v>2014</v>
      </c>
      <c r="E15" s="297">
        <v>2015</v>
      </c>
      <c r="F15" s="105"/>
    </row>
    <row r="16" spans="2:6" x14ac:dyDescent="0.2">
      <c r="B16" s="298" t="s">
        <v>133</v>
      </c>
      <c r="C16" s="299">
        <v>212</v>
      </c>
      <c r="D16" s="299">
        <v>389</v>
      </c>
      <c r="E16" s="299">
        <v>127</v>
      </c>
    </row>
    <row r="17" spans="2:6" x14ac:dyDescent="0.2">
      <c r="B17" s="300" t="s">
        <v>134</v>
      </c>
      <c r="C17" s="301">
        <f>C16/ŠS!D34*100</f>
        <v>0.28583033976612038</v>
      </c>
      <c r="D17" s="301">
        <f>D16/ŠS!E34*100</f>
        <v>0.51220361992600594</v>
      </c>
      <c r="E17" s="301">
        <f>E16/ŠS!F34*100</f>
        <v>0.16140181569163195</v>
      </c>
    </row>
    <row r="18" spans="2:6" x14ac:dyDescent="0.2">
      <c r="C18" s="399" t="s">
        <v>57</v>
      </c>
      <c r="D18" s="399"/>
      <c r="E18" s="399"/>
    </row>
    <row r="20" spans="2:6" ht="13.5" thickBot="1" x14ac:dyDescent="0.25">
      <c r="B20" s="123" t="s">
        <v>232</v>
      </c>
      <c r="C20" s="302"/>
      <c r="D20" s="302"/>
      <c r="E20" s="302"/>
    </row>
    <row r="21" spans="2:6" x14ac:dyDescent="0.2">
      <c r="B21" s="303"/>
      <c r="C21" s="304">
        <v>2013</v>
      </c>
      <c r="D21" s="304">
        <v>2014</v>
      </c>
      <c r="E21" s="304">
        <v>2015</v>
      </c>
    </row>
    <row r="22" spans="2:6" x14ac:dyDescent="0.2">
      <c r="B22" s="49" t="s">
        <v>144</v>
      </c>
      <c r="C22" s="305">
        <v>380</v>
      </c>
      <c r="D22" s="306">
        <v>383</v>
      </c>
      <c r="E22" s="306">
        <v>690</v>
      </c>
      <c r="F22" s="105"/>
    </row>
    <row r="23" spans="2:6" x14ac:dyDescent="0.2">
      <c r="B23" s="307" t="s">
        <v>135</v>
      </c>
      <c r="C23" s="308">
        <v>0</v>
      </c>
      <c r="D23" s="308">
        <f>D22-C22</f>
        <v>3</v>
      </c>
      <c r="E23" s="308">
        <f>E22-D22</f>
        <v>307</v>
      </c>
    </row>
    <row r="24" spans="2:6" x14ac:dyDescent="0.2">
      <c r="B24" s="300" t="s">
        <v>136</v>
      </c>
      <c r="C24" s="301">
        <f>C23/ŠS!D34*100</f>
        <v>0</v>
      </c>
      <c r="D24" s="301">
        <f>D23/ŠS!E34*100</f>
        <v>3.9501564518715114E-3</v>
      </c>
      <c r="E24" s="301">
        <f>E23/ŠS!F34*100</f>
        <v>0.39016029462465363</v>
      </c>
    </row>
    <row r="25" spans="2:6" x14ac:dyDescent="0.2">
      <c r="B25" s="110"/>
      <c r="C25" s="110"/>
      <c r="D25" s="400" t="s">
        <v>57</v>
      </c>
      <c r="E25" s="400"/>
    </row>
  </sheetData>
  <mergeCells count="3">
    <mergeCell ref="C18:E18"/>
    <mergeCell ref="D25:E25"/>
    <mergeCell ref="D12:E1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8"/>
  <dimension ref="B2:J11"/>
  <sheetViews>
    <sheetView showGridLines="0" workbookViewId="0">
      <selection activeCell="A40" sqref="A40"/>
    </sheetView>
  </sheetViews>
  <sheetFormatPr defaultRowHeight="12.75" x14ac:dyDescent="0.2"/>
  <cols>
    <col min="1" max="1" width="13.140625" style="91" customWidth="1"/>
    <col min="2" max="2" width="18.5703125" style="91" bestFit="1" customWidth="1"/>
    <col min="3" max="3" width="9.5703125" style="91" bestFit="1" customWidth="1"/>
    <col min="4" max="4" width="10.5703125" style="91" customWidth="1"/>
    <col min="5" max="5" width="9.140625" style="91"/>
    <col min="6" max="6" width="10.85546875" style="91" customWidth="1"/>
    <col min="7" max="8" width="9.85546875" style="91" bestFit="1" customWidth="1"/>
    <col min="9" max="16384" width="9.140625" style="91"/>
  </cols>
  <sheetData>
    <row r="2" spans="2:10" ht="13.5" thickBot="1" x14ac:dyDescent="0.25">
      <c r="B2" s="401" t="s">
        <v>233</v>
      </c>
      <c r="C2" s="401"/>
      <c r="D2" s="401"/>
      <c r="E2" s="401"/>
      <c r="F2" s="401"/>
      <c r="G2" s="401"/>
      <c r="H2" s="401"/>
    </row>
    <row r="3" spans="2:10" x14ac:dyDescent="0.2">
      <c r="B3" s="309"/>
      <c r="C3" s="402" t="s">
        <v>116</v>
      </c>
      <c r="D3" s="403"/>
      <c r="E3" s="404" t="s">
        <v>196</v>
      </c>
      <c r="F3" s="403"/>
      <c r="G3" s="405" t="s">
        <v>117</v>
      </c>
      <c r="H3" s="406"/>
    </row>
    <row r="4" spans="2:10" ht="13.5" thickBot="1" x14ac:dyDescent="0.25">
      <c r="B4" s="310"/>
      <c r="C4" s="311">
        <v>2014</v>
      </c>
      <c r="D4" s="312">
        <v>2015</v>
      </c>
      <c r="E4" s="313">
        <v>2014</v>
      </c>
      <c r="F4" s="312">
        <v>2015</v>
      </c>
      <c r="G4" s="313">
        <v>2014</v>
      </c>
      <c r="H4" s="99">
        <v>2015</v>
      </c>
    </row>
    <row r="5" spans="2:10" x14ac:dyDescent="0.2">
      <c r="B5" s="298" t="s">
        <v>23</v>
      </c>
      <c r="C5" s="314">
        <f>ŠS!E4</f>
        <v>-2.7073266277320727</v>
      </c>
      <c r="D5" s="315">
        <f>ŠS!F4</f>
        <v>-2.707365494335356</v>
      </c>
      <c r="E5" s="314">
        <v>-2.7073266277320789</v>
      </c>
      <c r="F5" s="315">
        <v>-2.7073654943353636</v>
      </c>
      <c r="G5" s="316">
        <f>C5-E5</f>
        <v>6.2172489379008766E-15</v>
      </c>
      <c r="H5" s="316">
        <f>D5-F5</f>
        <v>7.5495165674510645E-15</v>
      </c>
    </row>
    <row r="6" spans="2:10" x14ac:dyDescent="0.2">
      <c r="B6" s="298" t="s">
        <v>24</v>
      </c>
      <c r="C6" s="317">
        <f>ŠS!E5</f>
        <v>-0.37213239170136797</v>
      </c>
      <c r="D6" s="318">
        <f>ŠS!F5</f>
        <v>-0.12919149706059013</v>
      </c>
      <c r="E6" s="317">
        <v>-0.81176653162365864</v>
      </c>
      <c r="F6" s="318">
        <v>-0.49258494272259745</v>
      </c>
      <c r="G6" s="319">
        <f>C6-E6</f>
        <v>0.43963413992229067</v>
      </c>
      <c r="H6" s="320">
        <f>D6-F6</f>
        <v>0.36339344566200732</v>
      </c>
      <c r="J6" s="163"/>
    </row>
    <row r="7" spans="2:10" x14ac:dyDescent="0.2">
      <c r="B7" s="298" t="s">
        <v>118</v>
      </c>
      <c r="C7" s="317">
        <f>ŠS!E6</f>
        <v>0.17480920465717151</v>
      </c>
      <c r="D7" s="318">
        <f>ŠS!F6</f>
        <v>-0.1847364210899039</v>
      </c>
      <c r="E7" s="317">
        <v>0.27388410114980921</v>
      </c>
      <c r="F7" s="318">
        <v>0</v>
      </c>
      <c r="G7" s="319">
        <f t="shared" ref="G7:H8" si="0">C7-E7</f>
        <v>-9.9074896492637704E-2</v>
      </c>
      <c r="H7" s="320">
        <f t="shared" si="0"/>
        <v>-0.1847364210899039</v>
      </c>
    </row>
    <row r="8" spans="2:10" ht="13.5" thickBot="1" x14ac:dyDescent="0.25">
      <c r="B8" s="321" t="s">
        <v>119</v>
      </c>
      <c r="C8" s="322">
        <f>ŠS!E7</f>
        <v>-2.5100034406878762</v>
      </c>
      <c r="D8" s="323">
        <f>ŠS!F7</f>
        <v>-2.3934375761848621</v>
      </c>
      <c r="E8" s="322">
        <f>E5-E6-E7</f>
        <v>-2.1694441972582297</v>
      </c>
      <c r="F8" s="323">
        <f>F5-F6-F7</f>
        <v>-2.2147805516127663</v>
      </c>
      <c r="G8" s="324">
        <f t="shared" si="0"/>
        <v>-0.3405592434296465</v>
      </c>
      <c r="H8" s="325">
        <f t="shared" si="0"/>
        <v>-0.17865702457209576</v>
      </c>
    </row>
    <row r="9" spans="2:10" x14ac:dyDescent="0.2">
      <c r="B9" s="326" t="s">
        <v>120</v>
      </c>
      <c r="C9" s="327">
        <f>ŠS!E8</f>
        <v>0.11727574734939505</v>
      </c>
      <c r="D9" s="328">
        <f>ŠS!F8</f>
        <v>0.11656586450301409</v>
      </c>
      <c r="E9" s="327">
        <v>-0.10749672973532698</v>
      </c>
      <c r="F9" s="328">
        <f>F8-E8</f>
        <v>-4.5336354354536645E-2</v>
      </c>
      <c r="G9" s="329">
        <f>C9-E9</f>
        <v>0.22477247708472203</v>
      </c>
      <c r="H9" s="330">
        <f>D9-F9</f>
        <v>0.16190221885755074</v>
      </c>
    </row>
    <row r="10" spans="2:10" x14ac:dyDescent="0.2">
      <c r="B10" s="331"/>
      <c r="C10" s="332"/>
      <c r="D10" s="332"/>
      <c r="E10" s="332"/>
      <c r="F10" s="332"/>
      <c r="G10" s="388" t="s">
        <v>57</v>
      </c>
      <c r="H10" s="388"/>
    </row>
    <row r="11" spans="2:10" x14ac:dyDescent="0.2">
      <c r="E11" s="194"/>
      <c r="F11" s="194"/>
    </row>
  </sheetData>
  <mergeCells count="5">
    <mergeCell ref="B2:H2"/>
    <mergeCell ref="C3:D3"/>
    <mergeCell ref="E3:F3"/>
    <mergeCell ref="G3:H3"/>
    <mergeCell ref="G10:H10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0"/>
  <dimension ref="B2:J23"/>
  <sheetViews>
    <sheetView showGridLines="0" workbookViewId="0">
      <selection activeCell="A40" sqref="A40"/>
    </sheetView>
  </sheetViews>
  <sheetFormatPr defaultRowHeight="12.75" x14ac:dyDescent="0.2"/>
  <cols>
    <col min="1" max="1" width="10" style="91" customWidth="1"/>
    <col min="2" max="2" width="48.28515625" style="91" bestFit="1" customWidth="1"/>
    <col min="3" max="14" width="6.5703125" style="91" customWidth="1"/>
    <col min="15" max="15" width="8.7109375" style="91" customWidth="1"/>
    <col min="16" max="16384" width="9.140625" style="91"/>
  </cols>
  <sheetData>
    <row r="2" spans="2:10" ht="13.5" thickBot="1" x14ac:dyDescent="0.25">
      <c r="B2" s="162" t="s">
        <v>234</v>
      </c>
      <c r="C2" s="162"/>
      <c r="D2" s="162"/>
      <c r="E2" s="162"/>
      <c r="F2" s="162"/>
    </row>
    <row r="3" spans="2:10" ht="13.5" thickBot="1" x14ac:dyDescent="0.25">
      <c r="B3" s="69"/>
      <c r="C3" s="125">
        <v>2012</v>
      </c>
      <c r="D3" s="125">
        <v>2013</v>
      </c>
      <c r="E3" s="125">
        <v>2014</v>
      </c>
      <c r="F3" s="125">
        <v>2015</v>
      </c>
      <c r="J3" s="105"/>
    </row>
    <row r="4" spans="2:10" x14ac:dyDescent="0.2">
      <c r="B4" s="333" t="s">
        <v>64</v>
      </c>
      <c r="C4" s="334"/>
      <c r="D4" s="334"/>
      <c r="E4" s="334">
        <v>163.887</v>
      </c>
      <c r="F4" s="335"/>
    </row>
    <row r="5" spans="2:10" x14ac:dyDescent="0.2">
      <c r="B5" s="333" t="s">
        <v>65</v>
      </c>
      <c r="C5" s="334">
        <v>-5.7880000000000003</v>
      </c>
      <c r="D5" s="334">
        <v>-5.8</v>
      </c>
      <c r="E5" s="334">
        <v>-5.8</v>
      </c>
      <c r="F5" s="335">
        <v>-6</v>
      </c>
    </row>
    <row r="6" spans="2:10" x14ac:dyDescent="0.2">
      <c r="B6" s="333" t="s">
        <v>66</v>
      </c>
      <c r="C6" s="336"/>
      <c r="D6" s="336"/>
      <c r="E6" s="334">
        <v>44.656999999999996</v>
      </c>
      <c r="F6" s="335"/>
    </row>
    <row r="7" spans="2:10" ht="25.5" x14ac:dyDescent="0.2">
      <c r="B7" s="333" t="s">
        <v>67</v>
      </c>
      <c r="C7" s="334">
        <v>9.75</v>
      </c>
      <c r="D7" s="334">
        <v>19.5</v>
      </c>
      <c r="E7" s="334">
        <v>19.5</v>
      </c>
      <c r="F7" s="335"/>
    </row>
    <row r="8" spans="2:10" x14ac:dyDescent="0.2">
      <c r="B8" s="337" t="s">
        <v>68</v>
      </c>
      <c r="C8" s="338">
        <v>-66.488102680001262</v>
      </c>
      <c r="D8" s="338">
        <v>106.9381271799984</v>
      </c>
      <c r="E8" s="338">
        <v>-11.061431430850982</v>
      </c>
      <c r="F8" s="339">
        <v>31.479415885532379</v>
      </c>
      <c r="G8" s="105"/>
    </row>
    <row r="9" spans="2:10" ht="25.5" x14ac:dyDescent="0.2">
      <c r="B9" s="333" t="s">
        <v>69</v>
      </c>
      <c r="C9" s="338">
        <v>27.0076</v>
      </c>
      <c r="D9" s="338">
        <v>30.34</v>
      </c>
      <c r="E9" s="338">
        <v>48.088000000000001</v>
      </c>
      <c r="F9" s="335"/>
    </row>
    <row r="10" spans="2:10" x14ac:dyDescent="0.2">
      <c r="B10" s="333" t="s">
        <v>180</v>
      </c>
      <c r="C10" s="338">
        <f>C22</f>
        <v>109.43997541314697</v>
      </c>
      <c r="D10" s="338">
        <f>D22</f>
        <v>128.06618800689427</v>
      </c>
      <c r="E10" s="338">
        <f>E22</f>
        <v>-125.81407560516885</v>
      </c>
      <c r="F10" s="338">
        <f>F22</f>
        <v>-170.84039201756349</v>
      </c>
    </row>
    <row r="11" spans="2:10" x14ac:dyDescent="0.2">
      <c r="B11" s="333" t="s">
        <v>70</v>
      </c>
      <c r="C11" s="338"/>
      <c r="D11" s="338"/>
      <c r="E11" s="334">
        <v>57.756999999999998</v>
      </c>
      <c r="F11" s="335"/>
    </row>
    <row r="12" spans="2:10" x14ac:dyDescent="0.2">
      <c r="B12" s="333" t="s">
        <v>71</v>
      </c>
      <c r="C12" s="338"/>
      <c r="D12" s="338">
        <v>-8.08</v>
      </c>
      <c r="E12" s="334">
        <v>-58.452266829999999</v>
      </c>
      <c r="F12" s="335"/>
    </row>
    <row r="13" spans="2:10" ht="13.5" thickBot="1" x14ac:dyDescent="0.25">
      <c r="B13" s="340" t="s">
        <v>125</v>
      </c>
      <c r="C13" s="341">
        <v>40.164659999999998</v>
      </c>
      <c r="D13" s="341"/>
      <c r="E13" s="341"/>
      <c r="F13" s="35"/>
    </row>
    <row r="14" spans="2:10" ht="13.5" thickBot="1" x14ac:dyDescent="0.25">
      <c r="B14" s="342" t="s">
        <v>72</v>
      </c>
      <c r="C14" s="343">
        <f>SUM(C4:C13)</f>
        <v>114.0861327331457</v>
      </c>
      <c r="D14" s="343">
        <f>SUM(D4:D13)</f>
        <v>270.96431518689269</v>
      </c>
      <c r="E14" s="343">
        <f>SUM(E4:E13)</f>
        <v>132.76122613398019</v>
      </c>
      <c r="F14" s="343">
        <f>SUM(F4:F13)</f>
        <v>-145.36097613203111</v>
      </c>
    </row>
    <row r="15" spans="2:10" ht="13.5" thickBot="1" x14ac:dyDescent="0.25">
      <c r="B15" s="344" t="s">
        <v>73</v>
      </c>
      <c r="C15" s="345">
        <f>C14/ŠS!C34*100</f>
        <v>0.15691969758482743</v>
      </c>
      <c r="D15" s="345">
        <f>D14/ŠS!D34*100</f>
        <v>0.36532935035077202</v>
      </c>
      <c r="E15" s="345">
        <f>E14/ŠS!E34*100</f>
        <v>0.17480920465717151</v>
      </c>
      <c r="F15" s="345">
        <f>F14/ŠS!F34*100</f>
        <v>-0.1847364210899039</v>
      </c>
      <c r="G15" s="163"/>
    </row>
    <row r="16" spans="2:10" x14ac:dyDescent="0.2">
      <c r="E16" s="388" t="s">
        <v>57</v>
      </c>
      <c r="F16" s="388"/>
    </row>
    <row r="18" spans="2:6" ht="13.5" thickBot="1" x14ac:dyDescent="0.25">
      <c r="B18" s="162" t="s">
        <v>239</v>
      </c>
      <c r="C18" s="104"/>
      <c r="D18" s="104"/>
      <c r="E18" s="104"/>
      <c r="F18" s="104"/>
    </row>
    <row r="19" spans="2:6" ht="13.5" thickBot="1" x14ac:dyDescent="0.25">
      <c r="B19" s="162"/>
      <c r="C19" s="125">
        <v>2012</v>
      </c>
      <c r="D19" s="125">
        <v>2013</v>
      </c>
      <c r="E19" s="125">
        <v>2014</v>
      </c>
      <c r="F19" s="125">
        <v>2015</v>
      </c>
    </row>
    <row r="20" spans="2:6" x14ac:dyDescent="0.2">
      <c r="B20" s="102" t="s">
        <v>198</v>
      </c>
      <c r="C20" s="338">
        <f>0</f>
        <v>0</v>
      </c>
      <c r="D20" s="338">
        <f>[7]Data!$B$11/1000</f>
        <v>124.399</v>
      </c>
      <c r="E20" s="338">
        <f>[7]Data!$B$14/1000</f>
        <v>208.95099999999999</v>
      </c>
      <c r="F20" s="338">
        <f>[7]Data!$B$17/1000</f>
        <v>243.44014329999996</v>
      </c>
    </row>
    <row r="21" spans="2:6" x14ac:dyDescent="0.2">
      <c r="B21" s="346" t="s">
        <v>210</v>
      </c>
      <c r="C21" s="347">
        <f>[7]Data!K26/1000</f>
        <v>109.43997541314697</v>
      </c>
      <c r="D21" s="347">
        <f>[7]Data!L26/1000</f>
        <v>252.46518800689427</v>
      </c>
      <c r="E21" s="347">
        <f>[7]Data!M26/1000</f>
        <v>83.136924394831141</v>
      </c>
      <c r="F21" s="347">
        <f>[7]Data!N26/1000</f>
        <v>72.599751282436472</v>
      </c>
    </row>
    <row r="22" spans="2:6" ht="13.5" thickBot="1" x14ac:dyDescent="0.25">
      <c r="B22" s="348" t="s">
        <v>199</v>
      </c>
      <c r="C22" s="349">
        <f t="shared" ref="C22:E22" si="0">C21-C20</f>
        <v>109.43997541314697</v>
      </c>
      <c r="D22" s="349">
        <f t="shared" si="0"/>
        <v>128.06618800689427</v>
      </c>
      <c r="E22" s="349">
        <f t="shared" si="0"/>
        <v>-125.81407560516885</v>
      </c>
      <c r="F22" s="349">
        <f>F21-F20</f>
        <v>-170.84039201756349</v>
      </c>
    </row>
    <row r="23" spans="2:6" x14ac:dyDescent="0.2">
      <c r="E23" s="388" t="s">
        <v>57</v>
      </c>
      <c r="F23" s="388"/>
    </row>
  </sheetData>
  <mergeCells count="2">
    <mergeCell ref="E16:F16"/>
    <mergeCell ref="E23:F2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12</vt:i4>
      </vt:variant>
      <vt:variant>
        <vt:lpstr>Pomenované rozsahy</vt:lpstr>
      </vt:variant>
      <vt:variant>
        <vt:i4>1</vt:i4>
      </vt:variant>
    </vt:vector>
  </HeadingPairs>
  <TitlesOfParts>
    <vt:vector size="13" baseType="lpstr">
      <vt:lpstr>Obsah</vt:lpstr>
      <vt:lpstr>Celkove hodnotenie</vt:lpstr>
      <vt:lpstr>ŠS</vt:lpstr>
      <vt:lpstr>ŠS_faktory</vt:lpstr>
      <vt:lpstr>Cyklická zložka</vt:lpstr>
      <vt:lpstr>VP</vt:lpstr>
      <vt:lpstr>VP_faktory</vt:lpstr>
      <vt:lpstr>FK vs EK</vt:lpstr>
      <vt:lpstr>One-offs</vt:lpstr>
      <vt:lpstr>NPC</vt:lpstr>
      <vt:lpstr>DRM</vt:lpstr>
      <vt:lpstr>Výdavky z EÚ fondov</vt:lpstr>
      <vt:lpstr>'Výdavky z EÚ fondov'!_ftnref1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2016-11-30T11:55:54Z</dcterms:modified>
</cp:coreProperties>
</file>