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40" yWindow="105" windowWidth="14805" windowHeight="8010"/>
  </bookViews>
  <sheets>
    <sheet name="Obsah" sheetId="9" r:id="rId1"/>
    <sheet name="Celkove hodnotenie" sheetId="2" r:id="rId2"/>
    <sheet name="ŠS" sheetId="3" r:id="rId3"/>
    <sheet name="ŠS_faktory" sheetId="5" r:id="rId4"/>
    <sheet name="Cyklická zložka" sheetId="13" r:id="rId5"/>
    <sheet name="VP" sheetId="1" r:id="rId6"/>
    <sheet name="VP_faktory" sheetId="6" r:id="rId7"/>
    <sheet name="FK vs EK" sheetId="12" r:id="rId8"/>
    <sheet name="NPC" sheetId="4" r:id="rId9"/>
    <sheet name="One-offs" sheetId="7" r:id="rId10"/>
    <sheet name="DRM" sheetId="8" r:id="rId11"/>
  </sheets>
  <externalReferences>
    <externalReference r:id="rId12"/>
    <externalReference r:id="rId13"/>
    <externalReference r:id="rId14"/>
  </externalReferences>
  <calcPr calcId="152511"/>
</workbook>
</file>

<file path=xl/calcChain.xml><?xml version="1.0" encoding="utf-8"?>
<calcChain xmlns="http://schemas.openxmlformats.org/spreadsheetml/2006/main">
  <c r="E11" i="13" l="1"/>
  <c r="D11" i="13"/>
  <c r="C11" i="13"/>
  <c r="B11" i="13"/>
  <c r="E4" i="3"/>
  <c r="D4" i="3"/>
  <c r="C4" i="3"/>
  <c r="B4" i="3"/>
  <c r="D13" i="1" l="1"/>
  <c r="C16" i="6" l="1"/>
  <c r="D16" i="6"/>
  <c r="B16" i="6"/>
  <c r="C6" i="6" l="1"/>
  <c r="D6" i="6"/>
  <c r="B6" i="6"/>
  <c r="B23" i="6"/>
  <c r="B7" i="6" s="1"/>
  <c r="C5" i="6"/>
  <c r="B5" i="6"/>
  <c r="D22" i="6"/>
  <c r="D23" i="6" s="1"/>
  <c r="D7" i="6" s="1"/>
  <c r="C22" i="6"/>
  <c r="C23" i="6" s="1"/>
  <c r="C7" i="6" s="1"/>
  <c r="D5" i="6"/>
  <c r="F46" i="1"/>
  <c r="C11" i="1"/>
  <c r="D11" i="1"/>
  <c r="E11" i="1"/>
  <c r="B11" i="1"/>
  <c r="C12" i="1"/>
  <c r="D12" i="1"/>
  <c r="E12" i="1"/>
  <c r="B12" i="1"/>
  <c r="D10" i="1"/>
  <c r="E10" i="1"/>
  <c r="C10" i="1"/>
  <c r="B10" i="1"/>
  <c r="B13" i="1"/>
  <c r="C13" i="1"/>
  <c r="E13" i="1"/>
  <c r="C46" i="1"/>
  <c r="D46" i="1"/>
  <c r="E46" i="1"/>
  <c r="G46" i="1"/>
  <c r="H46" i="1"/>
  <c r="B46" i="1"/>
  <c r="B17" i="1" l="1"/>
  <c r="C32" i="1"/>
  <c r="D32" i="1"/>
  <c r="E32" i="1"/>
  <c r="C33" i="1"/>
  <c r="D33" i="1"/>
  <c r="E33" i="1"/>
  <c r="D31" i="1"/>
  <c r="E31" i="1"/>
  <c r="C31" i="1"/>
  <c r="D19" i="1"/>
  <c r="E19" i="1"/>
  <c r="C19" i="1"/>
  <c r="G37" i="8"/>
  <c r="C5" i="12" l="1"/>
  <c r="B5" i="12"/>
  <c r="C21" i="4"/>
  <c r="C20" i="4"/>
  <c r="C19" i="4"/>
  <c r="C18" i="4"/>
  <c r="C17" i="4"/>
  <c r="B5" i="4"/>
  <c r="B12" i="4"/>
  <c r="C12" i="4" s="1"/>
  <c r="B7" i="4"/>
  <c r="C7" i="4" s="1"/>
  <c r="B6" i="4"/>
  <c r="B10" i="4"/>
  <c r="B9" i="4"/>
  <c r="C10" i="4"/>
  <c r="C13" i="4"/>
  <c r="C8" i="4"/>
  <c r="C9" i="4"/>
  <c r="C6" i="4"/>
  <c r="C5" i="4"/>
  <c r="C15" i="4"/>
  <c r="C14" i="4"/>
  <c r="C11" i="4"/>
  <c r="C4" i="4"/>
  <c r="G5" i="12" l="1"/>
  <c r="F5" i="12"/>
  <c r="B16" i="4"/>
  <c r="C16" i="4"/>
  <c r="C3" i="4"/>
  <c r="B3" i="4"/>
  <c r="B22" i="4" l="1"/>
  <c r="C22" i="4"/>
  <c r="B13" i="7" l="1"/>
  <c r="E14" i="7" l="1"/>
  <c r="E5" i="3" s="1"/>
  <c r="C6" i="12" s="1"/>
  <c r="G6" i="12" s="1"/>
  <c r="D14" i="7"/>
  <c r="D5" i="3" s="1"/>
  <c r="B6" i="12" s="1"/>
  <c r="F6" i="12" s="1"/>
  <c r="C14" i="7"/>
  <c r="C5" i="3" s="1"/>
  <c r="B14" i="7"/>
  <c r="B5" i="3" s="1"/>
  <c r="C13" i="7"/>
  <c r="E31" i="3"/>
  <c r="D31" i="3"/>
  <c r="C31" i="3"/>
  <c r="B31" i="3"/>
  <c r="E30" i="3"/>
  <c r="D30" i="3"/>
  <c r="C30" i="3"/>
  <c r="B30" i="3"/>
  <c r="E32" i="3"/>
  <c r="E3" i="3" s="1"/>
  <c r="D32" i="3"/>
  <c r="D3" i="3" s="1"/>
  <c r="C32" i="3"/>
  <c r="C3" i="3" s="1"/>
  <c r="B6" i="3" l="1"/>
  <c r="B37" i="3" s="1"/>
  <c r="C37" i="3" s="1"/>
  <c r="C6" i="3"/>
  <c r="B4" i="12"/>
  <c r="F4" i="12" s="1"/>
  <c r="D6" i="3"/>
  <c r="C4" i="12"/>
  <c r="G4" i="12" s="1"/>
  <c r="E6" i="3"/>
  <c r="B32" i="3"/>
  <c r="B3" i="3" s="1"/>
  <c r="B9" i="5" l="1"/>
  <c r="C8" i="3"/>
  <c r="C6" i="2" s="1"/>
  <c r="D37" i="3"/>
  <c r="B7" i="12"/>
  <c r="F7" i="12" s="1"/>
  <c r="D7" i="3"/>
  <c r="B8" i="12" s="1"/>
  <c r="F8" i="12" s="1"/>
  <c r="B8" i="3"/>
  <c r="B9" i="3" s="1"/>
  <c r="C7" i="12"/>
  <c r="G7" i="12" s="1"/>
  <c r="E7" i="3"/>
  <c r="C8" i="12" s="1"/>
  <c r="G8" i="12" s="1"/>
  <c r="E37" i="3" l="1"/>
  <c r="C9" i="5"/>
  <c r="D8" i="3"/>
  <c r="C9" i="3"/>
  <c r="C7" i="3"/>
  <c r="F37" i="3" l="1"/>
  <c r="D9" i="5"/>
  <c r="E9" i="5" s="1"/>
  <c r="F9" i="5" s="1"/>
  <c r="E8" i="3"/>
  <c r="E6" i="2" s="1"/>
  <c r="D6" i="2"/>
  <c r="D9" i="3"/>
  <c r="C7" i="5"/>
  <c r="E4" i="2" l="1"/>
  <c r="E8" i="2" s="1"/>
  <c r="E9" i="3" l="1"/>
  <c r="E5" i="2"/>
  <c r="E9" i="2"/>
  <c r="D13" i="7"/>
  <c r="E13" i="7"/>
  <c r="B7" i="8" l="1"/>
  <c r="F7" i="8" s="1"/>
  <c r="B10" i="8"/>
  <c r="B9" i="8" s="1"/>
  <c r="D37" i="8"/>
  <c r="I36" i="8"/>
  <c r="I35" i="8"/>
  <c r="I34" i="8"/>
  <c r="I33" i="8"/>
  <c r="I32" i="8"/>
  <c r="I31" i="8"/>
  <c r="E30" i="8"/>
  <c r="E37" i="8" s="1"/>
  <c r="I29" i="8"/>
  <c r="H27" i="8"/>
  <c r="H26" i="8"/>
  <c r="H25" i="8"/>
  <c r="H24" i="8"/>
  <c r="C23" i="8"/>
  <c r="C37" i="8" s="1"/>
  <c r="H22" i="8"/>
  <c r="G21" i="8"/>
  <c r="G20" i="8"/>
  <c r="G19" i="8"/>
  <c r="G18" i="8"/>
  <c r="G17" i="8"/>
  <c r="G16" i="8"/>
  <c r="G15" i="8"/>
  <c r="F15" i="8"/>
  <c r="G14" i="8"/>
  <c r="F14" i="8"/>
  <c r="G13" i="8"/>
  <c r="F13" i="8"/>
  <c r="I12" i="8"/>
  <c r="H11" i="8"/>
  <c r="G8" i="8"/>
  <c r="F8" i="8"/>
  <c r="G6" i="8"/>
  <c r="F6" i="8"/>
  <c r="G10" i="8" l="1"/>
  <c r="H37" i="8"/>
  <c r="B37" i="8"/>
  <c r="F37" i="8"/>
  <c r="F10" i="8"/>
  <c r="I30" i="8"/>
  <c r="I37" i="8" s="1"/>
  <c r="G9" i="8" l="1"/>
  <c r="F9" i="8"/>
  <c r="D7" i="5" l="1"/>
  <c r="F7" i="5" s="1"/>
  <c r="B7" i="5"/>
  <c r="C6" i="5"/>
  <c r="D6" i="5"/>
  <c r="E6" i="5" s="1"/>
  <c r="B6" i="5"/>
  <c r="C3" i="5"/>
  <c r="D3" i="5"/>
  <c r="B3" i="5"/>
  <c r="E4" i="5" l="1"/>
  <c r="F5" i="5" s="1"/>
  <c r="D4" i="2"/>
  <c r="D8" i="2" s="1"/>
  <c r="C4" i="2"/>
  <c r="C8" i="2" s="1"/>
  <c r="D8" i="5"/>
  <c r="D10" i="5" s="1"/>
  <c r="B8" i="5"/>
  <c r="C8" i="5"/>
  <c r="C10" i="5" s="1"/>
  <c r="D17" i="2" s="1"/>
  <c r="F6" i="5"/>
  <c r="E7" i="5"/>
  <c r="E8" i="5" l="1"/>
  <c r="E10" i="5" s="1"/>
  <c r="F8" i="5"/>
  <c r="F10" i="5" s="1"/>
  <c r="E17" i="2" s="1"/>
  <c r="B10" i="5"/>
  <c r="C17" i="2" s="1"/>
  <c r="D9" i="2"/>
  <c r="D5" i="2"/>
  <c r="C5" i="2"/>
  <c r="C9" i="2"/>
  <c r="C23" i="1"/>
  <c r="E21" i="1"/>
  <c r="C21" i="1"/>
  <c r="A24" i="1"/>
  <c r="E24" i="1"/>
  <c r="D24" i="1"/>
  <c r="C24" i="1"/>
  <c r="A37" i="1"/>
  <c r="A36" i="1"/>
  <c r="A35" i="1"/>
  <c r="A34" i="1"/>
  <c r="A30" i="1"/>
  <c r="A28" i="1"/>
  <c r="A27" i="1"/>
  <c r="A25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C17" i="1"/>
  <c r="A8" i="1"/>
  <c r="A7" i="1"/>
  <c r="A6" i="1"/>
  <c r="D21" i="1"/>
  <c r="A5" i="1"/>
  <c r="E23" i="1"/>
  <c r="D23" i="1"/>
  <c r="A4" i="1"/>
  <c r="A3" i="1"/>
  <c r="E2" i="1"/>
  <c r="D2" i="1"/>
  <c r="C2" i="1"/>
  <c r="E25" i="1" l="1"/>
  <c r="C18" i="1"/>
  <c r="C20" i="1" s="1"/>
  <c r="C22" i="1" s="1"/>
  <c r="D25" i="1"/>
  <c r="C25" i="1"/>
  <c r="C26" i="1" l="1"/>
  <c r="C27" i="1" s="1"/>
  <c r="D17" i="1"/>
  <c r="D18" i="1" s="1"/>
  <c r="D20" i="1" s="1"/>
  <c r="D22" i="1" s="1"/>
  <c r="D26" i="1" s="1"/>
  <c r="C12" i="2" l="1"/>
  <c r="C13" i="2" s="1"/>
  <c r="C14" i="2" s="1"/>
  <c r="D28" i="1"/>
  <c r="D12" i="2"/>
  <c r="D27" i="1"/>
  <c r="D34" i="1"/>
  <c r="D35" i="1" s="1"/>
  <c r="C3" i="6"/>
  <c r="C8" i="6" s="1"/>
  <c r="C34" i="1"/>
  <c r="C35" i="1" s="1"/>
  <c r="B3" i="6"/>
  <c r="B8" i="6" s="1"/>
  <c r="E17" i="1"/>
  <c r="E18" i="1" s="1"/>
  <c r="E20" i="1" s="1"/>
  <c r="E22" i="1" s="1"/>
  <c r="E26" i="1" s="1"/>
  <c r="C9" i="6" l="1"/>
  <c r="E12" i="2"/>
  <c r="E27" i="1"/>
  <c r="E28" i="1"/>
  <c r="D36" i="1"/>
  <c r="E34" i="1"/>
  <c r="E35" i="1" s="1"/>
  <c r="D3" i="6"/>
  <c r="C18" i="2"/>
  <c r="C19" i="2" s="1"/>
  <c r="D18" i="2" l="1"/>
  <c r="D19" i="2" s="1"/>
  <c r="C10" i="6"/>
  <c r="D8" i="6"/>
  <c r="D9" i="6" s="1"/>
  <c r="E36" i="1"/>
  <c r="D13" i="2"/>
  <c r="D14" i="2" s="1"/>
  <c r="E13" i="2"/>
  <c r="E14" i="2" s="1"/>
  <c r="E18" i="2" l="1"/>
  <c r="E19" i="2" s="1"/>
  <c r="D10" i="6"/>
</calcChain>
</file>

<file path=xl/sharedStrings.xml><?xml version="1.0" encoding="utf-8"?>
<sst xmlns="http://schemas.openxmlformats.org/spreadsheetml/2006/main" count="251" uniqueCount="210">
  <si>
    <t xml:space="preserve"> - Medziročná zmena spolufinancovania z dôvodu čerpania EŠIF</t>
  </si>
  <si>
    <t>Celkové hodnotenie plnenia pravidla o vyrovnanom rozpočte v národnej metodike (% HDP)</t>
  </si>
  <si>
    <t>% HDP</t>
  </si>
  <si>
    <t>Stanovená úroveň strednodobého cieľu (MTO) v oblasti štrukturálneho salda</t>
  </si>
  <si>
    <t>Štrukturálne saldo (ŠS - národná metodika)</t>
  </si>
  <si>
    <t>3 (áno ak 2=&lt;1)</t>
  </si>
  <si>
    <t>Dosiahnuté MTO?</t>
  </si>
  <si>
    <t>Požadovaná úroveň ŠS podľa rovnomernej cesty do 2017 (referenčná hodnota podľa národnej metodiky)</t>
  </si>
  <si>
    <t xml:space="preserve">Vývoj štrukturálneho salda oproti referenčnej hodnote </t>
  </si>
  <si>
    <t>Odchýlka od referenčnej hodnoty ŠS (kumulatívne)</t>
  </si>
  <si>
    <t>A.</t>
  </si>
  <si>
    <r>
      <t xml:space="preserve">Hodnotenie odchýlky vo vývoji ŠS </t>
    </r>
    <r>
      <rPr>
        <sz val="10"/>
        <color theme="1"/>
        <rFont val="Arial Narrow"/>
        <family val="2"/>
        <charset val="238"/>
      </rPr>
      <t>oproti referenčnej hodnote
(ak 5 =&gt; 0 je v súlade, ak 5 je v rozmedzí od 0 po -0,5 ide o nevýrazná odchýlka, ak 5 je nižšie ako -0,5 výrazná odchýlka)</t>
    </r>
  </si>
  <si>
    <t>* vyžaduje si celkové hodnotenie</t>
  </si>
  <si>
    <t xml:space="preserve">Výdavkové pravidlo </t>
  </si>
  <si>
    <t>Odchýlka od Výdavkového pravidla (jednoročný horizont)</t>
  </si>
  <si>
    <t xml:space="preserve">7 = kumul. r. 6 </t>
  </si>
  <si>
    <t>Odchýlka od Výdavkového pravidla (kumulatívne)</t>
  </si>
  <si>
    <t>B.</t>
  </si>
  <si>
    <r>
      <t xml:space="preserve">Hodnotenie výdavkového pravidla
</t>
    </r>
    <r>
      <rPr>
        <sz val="10"/>
        <color theme="1"/>
        <rFont val="Arial Narrow"/>
        <family val="2"/>
        <charset val="238"/>
      </rPr>
      <t>(ak 5 =&gt; 0 je v súlade, ak 5 je v rozmedzí od 0 po -0,5 ide o nevýrazná odchýlka, ak 5 je nižšie ako -0,5 výrazná odchýlka)</t>
    </r>
  </si>
  <si>
    <t>Celkové hodnotenie po zohľadnení dodatočných faktorov</t>
  </si>
  <si>
    <t>Odchýlka od ŠS (po zohľadnení dodatočných faktorov - kum.)</t>
  </si>
  <si>
    <t>Odchýlka od VV (po zohľadnení dodatočných faktorov - kum.)</t>
  </si>
  <si>
    <t>C.</t>
  </si>
  <si>
    <t>Celkové hodnotenie (po zohľadnení dodatočných faktorov)</t>
  </si>
  <si>
    <t>1. Saldo verejnej správy</t>
  </si>
  <si>
    <t>2. Cyklická zložka</t>
  </si>
  <si>
    <t>3. Jednorazové efekty</t>
  </si>
  <si>
    <t>4. Štrukturálne saldo (1-2-3)</t>
  </si>
  <si>
    <t>5. Konsolidačné úsilie</t>
  </si>
  <si>
    <t>mil. eur</t>
  </si>
  <si>
    <t>1. Príjmy verejnej správy</t>
  </si>
  <si>
    <t>Daňové príjmy</t>
  </si>
  <si>
    <t>z toho: Zmeny v daňovom odpisovaní majetku a audit daňových výdavkov</t>
  </si>
  <si>
    <t>z toho: Opatrenia na zvýšenie úspešnosti výberu daní</t>
  </si>
  <si>
    <t>z toho: Zavedenie pravidiel nízkej kapitalizácie</t>
  </si>
  <si>
    <t>z toho: Vyššie príjmy z odvodov z hazardu</t>
  </si>
  <si>
    <t>z toho: Odpočet výdavkov na vedu a výskum</t>
  </si>
  <si>
    <t>z toho: Zníženie sadzby bankového odvodu</t>
  </si>
  <si>
    <t>Sociálne a zdravotné odvody</t>
  </si>
  <si>
    <t>z toho: Legislatívne zmeny (OOP + otvorenie II. piliera)</t>
  </si>
  <si>
    <t>z toho: Vyššia platba štátu a imputované poistné</t>
  </si>
  <si>
    <t>Nedaňové príjmy</t>
  </si>
  <si>
    <t>Granty a Transfery</t>
  </si>
  <si>
    <t>2. Výdavky verejnej správy</t>
  </si>
  <si>
    <t>Vyššie výdavky na tovary a služby</t>
  </si>
  <si>
    <t>Vyššie výdavky na kompenzácie zamestnancov</t>
  </si>
  <si>
    <t>Vyššie transfery zdravotníckym zariadeniam</t>
  </si>
  <si>
    <t>Vyššie ostatné bežné transfery</t>
  </si>
  <si>
    <t>Vyššie kapitálové výdavky</t>
  </si>
  <si>
    <t>Pozn.: ide o vplyvy na saldo VS, (+) znamená zlepšenie a (-) zhoršenie salda</t>
  </si>
  <si>
    <t>Zdroj: MF SR, ŠÚ SR</t>
  </si>
  <si>
    <t>Zoznam opatrení v roku 2015 (ESA2010, skutočnosť oproti NPC scenáru)</t>
  </si>
  <si>
    <r>
      <t>2015</t>
    </r>
    <r>
      <rPr>
        <b/>
        <vertAlign val="subscript"/>
        <sz val="10"/>
        <color rgb="FF000000"/>
        <rFont val="Arial Narrow"/>
        <family val="2"/>
        <charset val="238"/>
      </rPr>
      <t>1a</t>
    </r>
  </si>
  <si>
    <r>
      <t>2015</t>
    </r>
    <r>
      <rPr>
        <b/>
        <vertAlign val="subscript"/>
        <sz val="10"/>
        <color rgb="FF000000"/>
        <rFont val="Arial Narrow"/>
        <family val="2"/>
        <charset val="238"/>
      </rPr>
      <t>1b</t>
    </r>
  </si>
  <si>
    <r>
      <t>2015</t>
    </r>
    <r>
      <rPr>
        <b/>
        <vertAlign val="subscript"/>
        <sz val="10"/>
        <color rgb="FF000000"/>
        <rFont val="Arial Narrow"/>
        <family val="2"/>
        <charset val="238"/>
      </rPr>
      <t>1c</t>
    </r>
  </si>
  <si>
    <t>1a. Saldo verejnej správy</t>
  </si>
  <si>
    <t>-</t>
  </si>
  <si>
    <t>1b. Saldo VS po zohľadnení aktualizovaných daňových príjmov</t>
  </si>
  <si>
    <t>1c. Saldo VS po zohľadnení dočasných výdavkov zo spolufinancovania</t>
  </si>
  <si>
    <t>5. Rovnomerná cesta k MTO</t>
  </si>
  <si>
    <t>6. Odchýlka od požadovanej rovnomernej trajektórie (5-4)</t>
  </si>
  <si>
    <t>Zdroj: MF SR</t>
  </si>
  <si>
    <t>Celkové hodnotenie štrukturálneho salda podľa národnej metodiky (ESA2010, % HDP) </t>
  </si>
  <si>
    <t xml:space="preserve">Odchýlka od výdavkového pravidla (v % HDP) </t>
  </si>
  <si>
    <t>Dodatočné faktory pri aplikácii celkového hodnotenia</t>
  </si>
  <si>
    <t xml:space="preserve">Celkové hodnotenie odchýlky od výdavkového pravidla v % HDP </t>
  </si>
  <si>
    <t>Celkové hodnotenie kumulatívnej odchýlka od VP t až t-2 (v % HDP)</t>
  </si>
  <si>
    <t>Splnenie výdavkového pravidla po zohľadnení dodatočných faktorov</t>
  </si>
  <si>
    <t xml:space="preserve"> - Medziročné zvýšenie efektivity výberu DPH (DRM)</t>
  </si>
  <si>
    <t>Celkové hodnotenie výdavkového pravidla po zohľadnení dodatočných faktorov (% HDP)</t>
  </si>
  <si>
    <t xml:space="preserve"> - príjmy z predaja telekomunikačných licencií (digitálna dividenda)</t>
  </si>
  <si>
    <t xml:space="preserve"> - príjem/úhrada DPH z PPP projektu</t>
  </si>
  <si>
    <t xml:space="preserve"> - pokuta protimonopolného úradu za stavebný kartel </t>
  </si>
  <si>
    <t xml:space="preserve"> - splácanie návratnej finančnej výpomoci Cargo (kapitálový transfer v 2009)</t>
  </si>
  <si>
    <t xml:space="preserve"> - rozdielne zaznamenanie príjmov DPH (skutočná akrualizácia)</t>
  </si>
  <si>
    <t xml:space="preserve"> - splácanie návratnej finančnej výpomoci Vodohospodárskej výstavbe (kapitálový transfer pred rokom 2002)</t>
  </si>
  <si>
    <t xml:space="preserve"> - korekcie k EÚ fondom</t>
  </si>
  <si>
    <t xml:space="preserve"> - nižší odvod do EÚ rozpočtu</t>
  </si>
  <si>
    <t>-  jednorazové vyplatenie starobných dôchodkov silovým zložkám</t>
  </si>
  <si>
    <t>SPOLU - národná metodika</t>
  </si>
  <si>
    <t>v % HDP</t>
  </si>
  <si>
    <t>celkový vplyv</t>
  </si>
  <si>
    <t>dodatočný vplyv</t>
  </si>
  <si>
    <t>Popis</t>
  </si>
  <si>
    <t>Neplatenie bankového odvodu v 4Q</t>
  </si>
  <si>
    <t>Zníženie sadzby bankového odvodu od 2015</t>
  </si>
  <si>
    <t>Odvodová úľava pre dlhodobo nezamestnaných</t>
  </si>
  <si>
    <t>Zavedenie daňovej licencie DPPO</t>
  </si>
  <si>
    <t>Zníženie sadzby DPPO na 22%</t>
  </si>
  <si>
    <t xml:space="preserve">Prísnejšie pravidlá pre umorovanie strát </t>
  </si>
  <si>
    <t>Zmeny v 595/2003</t>
  </si>
  <si>
    <t>Zmeny v zaťažení odvodov</t>
  </si>
  <si>
    <t>Zmeny v daňovom odpisovaní majetku</t>
  </si>
  <si>
    <t>Zavedenie pravidiel nízkej kapitalizácie</t>
  </si>
  <si>
    <t>Odpočet výdavkov na vedu a výskum od základu dane</t>
  </si>
  <si>
    <t>Audit daňových výdavkov a iné</t>
  </si>
  <si>
    <t>Otvorenie II. piliera - bežný vplyv</t>
  </si>
  <si>
    <t>Odvodová odpočítateľná položka</t>
  </si>
  <si>
    <t>Zákon 222/2004 Z.z. o DPH</t>
  </si>
  <si>
    <t>SPOLU</t>
  </si>
  <si>
    <t>Zvýšenie a zosúladenie maximálnych vymeriavacích základov</t>
  </si>
  <si>
    <t>Zvýšenie odvodovej povinnosti SZČO a iné zmeny</t>
  </si>
  <si>
    <t>Zavedenie odvodovej povinnosti na príjmy z dohôd</t>
  </si>
  <si>
    <t>Zníženie sadzby do II. piliera dôchodkového systému</t>
  </si>
  <si>
    <t>Zavedenie OO v bankovom sektore</t>
  </si>
  <si>
    <t>Rozšírenie OO v bankovom sektore (vrátane vplyvu DPPO)</t>
  </si>
  <si>
    <t xml:space="preserve"> z toho: mimoriadny jednorazový odvod</t>
  </si>
  <si>
    <t xml:space="preserve"> z toho: osobitný odvod</t>
  </si>
  <si>
    <t>Zavedenie odvodu z podnikania v regul. odv.</t>
  </si>
  <si>
    <t>Zvýšenie poplatku pri registrácii automobilov</t>
  </si>
  <si>
    <t>Zmeny v zdaňovaní hazardných hier</t>
  </si>
  <si>
    <t>Prechod DPPO z 19% na 23% u opatrení schválených NRSR</t>
  </si>
  <si>
    <t>Zmeny v sadzbách daní z príjmov - DPPO 23%, DPFO 19% a 25%</t>
  </si>
  <si>
    <t>Oslobodenie príjmov z predaja majetku obcí a VÚC</t>
  </si>
  <si>
    <t>Zrušenie koncesionárskych poplatkov</t>
  </si>
  <si>
    <t>Znovuzavedenie koncesionárskych poplatkov</t>
  </si>
  <si>
    <t>Zdanenie nerozdelených ziskov spred roku 2004</t>
  </si>
  <si>
    <t>Zvýšenie sadzby SD z tabakových výrobkov</t>
  </si>
  <si>
    <t>Opatrenia na zvýšenie úspešnosti výberu daní (ERP a farmafirmy)</t>
  </si>
  <si>
    <t>Obsah - Plnenie pravidla vyrovnaného rozpočtu za rok 2015</t>
  </si>
  <si>
    <t>Celkové hodnotenie</t>
  </si>
  <si>
    <t>Výdavkové pravidlo</t>
  </si>
  <si>
    <t>Výdavkové pravidlo - dodatočné faktory</t>
  </si>
  <si>
    <t>Štrukturálne saldo</t>
  </si>
  <si>
    <t>Štrukturálne saldo - dodatočné faktory</t>
  </si>
  <si>
    <t>NPC</t>
  </si>
  <si>
    <t>Jednorázové a dočasné vplyvy</t>
  </si>
  <si>
    <t>Diskrečné príjmové opatrenia</t>
  </si>
  <si>
    <t>Štrukturálneho salda podľa národnej metodiky (ESA2010, % HDP) </t>
  </si>
  <si>
    <t>Rovnomerná cesta k MTO 2017</t>
  </si>
  <si>
    <t>Odchýlka MTO 2017 (jednoročná)</t>
  </si>
  <si>
    <t>Vývoj štrukturálneho salda oproti požadovanej národnej trajektórii (% HDP)</t>
  </si>
  <si>
    <t>Odchýlka od požadovanej úrovne ŠS salda v národnej metodike (% HDP)</t>
  </si>
  <si>
    <t>Rozdiely vo výpočte štrukturálneho salda v národnej metodike a EK metodike</t>
  </si>
  <si>
    <t>Národná metodika (1)</t>
  </si>
  <si>
    <t>EK Metodika (2)</t>
  </si>
  <si>
    <t>Rozdiely (3=1-2)</t>
  </si>
  <si>
    <t>3. Jednorazové opatrenia</t>
  </si>
  <si>
    <t>4. Štrukturálne saldo</t>
  </si>
  <si>
    <t>p.m. Konsolidačné úsilie</t>
  </si>
  <si>
    <t>Štrukturálne saldo - porovnanie národnej a EK metodiky</t>
  </si>
  <si>
    <t>Príjmové diskrečné opatrenia (mil. eur, ESA2010)</t>
  </si>
  <si>
    <t>Príjmy a výdavky VS (ESA2010, % HDP) </t>
  </si>
  <si>
    <t>1. Príjmy VS</t>
  </si>
  <si>
    <t>2. Výdavky VS</t>
  </si>
  <si>
    <t>3. Saldo VS (1 - 2)</t>
  </si>
  <si>
    <t>HDP (mil. eur)</t>
  </si>
  <si>
    <t xml:space="preserve"> - špeciálny odvod v bankovom sektore</t>
  </si>
  <si>
    <t>3. Spolu (1+2)</t>
  </si>
  <si>
    <t>Rovnomerná cesta k MTO 2017 (2012 - 2017)</t>
  </si>
  <si>
    <t>18. Odchýlka od výdavkového pravidla v % HDP ((17t-14t)*9t-1/HDPt)</t>
  </si>
  <si>
    <t>THFK celkové (T200)</t>
  </si>
  <si>
    <t>EU spolu (sektor VS)</t>
  </si>
  <si>
    <t>EU kapitálové výdavky</t>
  </si>
  <si>
    <t>Vládne kapitálové výdavky</t>
  </si>
  <si>
    <t>Zdroj: MF SR, ŠU SR</t>
  </si>
  <si>
    <t>Medziročná zmena zvýšenia efektívnosti výberu DPH (mil.eur, % HDP)</t>
  </si>
  <si>
    <t>Spolufinancovanie z dôvodu čerpania EŠIF (mil. eur, % HDP)</t>
  </si>
  <si>
    <t>Medziročný vplyv z DPH</t>
  </si>
  <si>
    <t>Celkom (% HDP)</t>
  </si>
  <si>
    <t>Medziročný vplyv zmeny spolufinancovania</t>
  </si>
  <si>
    <t>Celkom  (% HDP)</t>
  </si>
  <si>
    <t xml:space="preserve"> - Medziročný vplyv časovo správneho zaznamenania EÚ korekcií</t>
  </si>
  <si>
    <t>Jednorazové vplyvy  (ESA2010, mil. eur)</t>
  </si>
  <si>
    <t>Kapitálové výdavky (ESA 2010, mil. eur)</t>
  </si>
  <si>
    <t>Ukazovateľ</t>
  </si>
  <si>
    <t>Skutočnosť</t>
  </si>
  <si>
    <t>Odhad</t>
  </si>
  <si>
    <t>Prognóza</t>
  </si>
  <si>
    <t>Daňové príjmy a príjmy FSZP spolu</t>
  </si>
  <si>
    <t>Zdroj: Výbor pre daňové prognózy</t>
  </si>
  <si>
    <t>Prognóza daňových príjmov verejnej správy v metodike ESA2010 (v tis. EUR) - rozdiel jún 2016 -  február 2016</t>
  </si>
  <si>
    <r>
      <t>5</t>
    </r>
    <r>
      <rPr>
        <b/>
        <sz val="10"/>
        <color theme="1"/>
        <rFont val="Arial Narrow"/>
        <family val="2"/>
        <charset val="238"/>
      </rPr>
      <t xml:space="preserve"> </t>
    </r>
    <r>
      <rPr>
        <sz val="10"/>
        <color theme="1"/>
        <rFont val="Arial Narrow"/>
        <family val="2"/>
        <charset val="238"/>
      </rPr>
      <t>= 2 - 4</t>
    </r>
  </si>
  <si>
    <t>Objem spolufinancovania</t>
  </si>
  <si>
    <t>Cyklická zložka (% HDP, národná metodika)</t>
  </si>
  <si>
    <t>Cyklická zložka</t>
  </si>
  <si>
    <t>Priame dane domácností</t>
  </si>
  <si>
    <t>Odvody</t>
  </si>
  <si>
    <t>DPPO</t>
  </si>
  <si>
    <t>Nepriame dane</t>
  </si>
  <si>
    <t>Dôchodky</t>
  </si>
  <si>
    <t>Dávky v nezamestnanosti</t>
  </si>
  <si>
    <t>Spolu</t>
  </si>
  <si>
    <t>Príspevky k cyklickej zložke salda v disagregovanej metodike (% z HDP)</t>
  </si>
  <si>
    <t>Kompenzácie v súkromnom sektore</t>
  </si>
  <si>
    <t>Spotreba domácností v s.c.</t>
  </si>
  <si>
    <t>Hrubý zmiešaný dôchodok</t>
  </si>
  <si>
    <t>Zamestnanosť v súkromnom sektore</t>
  </si>
  <si>
    <t>Produkčná medzera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</si>
  <si>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</si>
  <si>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</si>
  <si>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</si>
  <si>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</si>
  <si>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</si>
  <si>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</si>
  <si>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</si>
  <si>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</si>
  <si>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</si>
  <si>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</si>
  <si>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</si>
  <si>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</si>
  <si>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</si>
  <si>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</si>
  <si>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</si>
  <si>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</si>
  <si>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</si>
  <si>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</si>
  <si>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</si>
  <si>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</si>
  <si>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r>
      <t>Vývoj medzier v jednotlivých makroekonomických základniach (% príslušných potenciálnych- trendových veličín)</t>
    </r>
    <r>
      <rPr>
        <b/>
        <sz val="10"/>
        <color rgb="FFFFFFFF"/>
        <rFont val="Arial Narrow"/>
        <family val="2"/>
        <charset val="238"/>
      </rPr>
      <t xml:space="preserve"> </t>
    </r>
    <r>
      <rPr>
        <sz val="10"/>
        <color rgb="FFFFFFFF"/>
        <rFont val="Arial Narrow"/>
        <family val="2"/>
        <charset val="238"/>
      </rPr>
      <t xml:space="preserve">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</si>
</sst>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0.000"/>
    <numFmt numFmtId="165" formatCode="#,##0.0"/>
    <numFmt numFmtId="166" formatCode="_-* #,##0\ _€_-;\-* #,##0\ _€_-;_-* &quot;-&quot;??\ _€_-;_-@_-"/>
    <numFmt numFmtId="167" formatCode="#,##0.0_ ;\-#,##0.0\ "/>
    <numFmt numFmtId="168" formatCode="#,##0.00_ ;\-#,##0.00\ "/>
    <numFmt numFmtId="169" formatCode="0.0"/>
    <numFmt numFmtId="170" formatCode="#,##0_ ;\-#,##0\ 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0070C0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name val="Arial"/>
      <family val="2"/>
    </font>
    <font>
      <sz val="9"/>
      <name val="Arial Narrow"/>
      <family val="2"/>
      <charset val="238"/>
    </font>
    <font>
      <sz val="9"/>
      <color theme="1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9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rgb="FF2C9ADC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color theme="4"/>
      <name val="Arial Narrow"/>
      <family val="2"/>
      <charset val="238"/>
    </font>
    <font>
      <sz val="8"/>
      <color rgb="FF000000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b/>
      <vertAlign val="subscript"/>
      <sz val="10"/>
      <color rgb="FF000000"/>
      <name val="Arial Narrow"/>
      <family val="2"/>
      <charset val="238"/>
    </font>
    <font>
      <i/>
      <sz val="9"/>
      <color rgb="FF000000"/>
      <name val="Arial Narrow"/>
      <family val="2"/>
      <charset val="238"/>
    </font>
    <font>
      <b/>
      <i/>
      <sz val="10"/>
      <color rgb="FF000000"/>
      <name val="Arial Narrow"/>
      <family val="2"/>
      <charset val="238"/>
    </font>
    <font>
      <sz val="10"/>
      <name val="Arial Narrow"/>
      <family val="2"/>
      <charset val="238"/>
    </font>
    <font>
      <u/>
      <sz val="11"/>
      <color theme="10"/>
      <name val="Calibri"/>
      <family val="2"/>
      <scheme val="minor"/>
    </font>
    <font>
      <i/>
      <sz val="8"/>
      <color rgb="FF000000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sz val="10"/>
      <name val="Arial"/>
      <family val="2"/>
      <charset val="238"/>
    </font>
    <font>
      <b/>
      <sz val="9"/>
      <color theme="4"/>
      <name val="Arial Narrow"/>
      <family val="2"/>
      <charset val="238"/>
    </font>
    <font>
      <u/>
      <sz val="10"/>
      <color theme="10"/>
      <name val="Arial Narrow"/>
      <family val="2"/>
      <charset val="238"/>
    </font>
    <font>
      <b/>
      <sz val="15"/>
      <color theme="1"/>
      <name val="Arial Narrow"/>
      <family val="2"/>
      <charset val="238"/>
    </font>
    <font>
      <sz val="10"/>
      <color rgb="FFFFFFFF"/>
      <name val="Arial Narrow"/>
      <family val="2"/>
      <charset val="238"/>
    </font>
    <font>
      <u/>
      <sz val="11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9"/>
      <color theme="0" tint="-0.249977111117893"/>
      <name val="Arial Narrow"/>
      <family val="2"/>
      <charset val="238"/>
    </font>
    <font>
      <b/>
      <sz val="10"/>
      <color rgb="FFFFFFFF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2C9ADC"/>
        <bgColor indexed="64"/>
      </patternFill>
    </fill>
    <fill>
      <patternFill patternType="solid">
        <fgColor theme="9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ck">
        <color theme="1"/>
      </left>
      <right style="thick">
        <color theme="1"/>
      </right>
      <top style="thick">
        <color theme="1"/>
      </top>
      <bottom style="medium">
        <color indexed="64"/>
      </bottom>
      <diagonal/>
    </border>
    <border>
      <left style="thick">
        <color theme="1"/>
      </left>
      <right style="thick">
        <color theme="1"/>
      </right>
      <top/>
      <bottom/>
      <diagonal/>
    </border>
    <border>
      <left style="thick">
        <color theme="1"/>
      </left>
      <right style="thick">
        <color theme="1"/>
      </right>
      <top/>
      <bottom style="thick">
        <color theme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7" fillId="0" borderId="0"/>
    <xf numFmtId="0" fontId="18" fillId="0" borderId="0"/>
    <xf numFmtId="0" fontId="7" fillId="0" borderId="0"/>
    <xf numFmtId="0" fontId="31" fillId="0" borderId="0" applyNumberFormat="0" applyFill="0" applyBorder="0" applyAlignment="0" applyProtection="0"/>
    <xf numFmtId="0" fontId="34" fillId="0" borderId="0"/>
  </cellStyleXfs>
  <cellXfs count="323">
    <xf numFmtId="0" fontId="0" fillId="0" borderId="0" xfId="0"/>
    <xf numFmtId="0" fontId="6" fillId="0" borderId="1" xfId="0" applyFont="1" applyFill="1" applyBorder="1" applyAlignment="1">
      <alignment vertical="center"/>
    </xf>
    <xf numFmtId="0" fontId="8" fillId="0" borderId="0" xfId="3" applyFont="1" applyFill="1" applyBorder="1" applyAlignment="1">
      <alignment horizontal="left" vertical="center" wrapText="1"/>
    </xf>
    <xf numFmtId="165" fontId="8" fillId="0" borderId="0" xfId="1" applyNumberFormat="1" applyFont="1" applyFill="1" applyBorder="1" applyAlignment="1">
      <alignment horizontal="right" vertical="center"/>
    </xf>
    <xf numFmtId="0" fontId="8" fillId="0" borderId="2" xfId="3" applyFont="1" applyFill="1" applyBorder="1" applyAlignment="1">
      <alignment horizontal="left" vertical="center" wrapText="1"/>
    </xf>
    <xf numFmtId="3" fontId="8" fillId="0" borderId="0" xfId="1" applyNumberFormat="1" applyFont="1" applyFill="1" applyBorder="1" applyAlignment="1">
      <alignment horizontal="right" vertical="center"/>
    </xf>
    <xf numFmtId="0" fontId="8" fillId="0" borderId="0" xfId="3" applyFont="1" applyFill="1" applyBorder="1" applyAlignment="1">
      <alignment horizontal="left" vertical="center" wrapText="1" indent="1"/>
    </xf>
    <xf numFmtId="3" fontId="8" fillId="0" borderId="3" xfId="1" applyNumberFormat="1" applyFont="1" applyFill="1" applyBorder="1" applyAlignment="1">
      <alignment horizontal="right" vertical="center"/>
    </xf>
    <xf numFmtId="49" fontId="9" fillId="0" borderId="0" xfId="0" applyNumberFormat="1" applyFont="1" applyFill="1" applyBorder="1" applyAlignment="1">
      <alignment horizontal="left" vertical="center" indent="2"/>
    </xf>
    <xf numFmtId="3" fontId="9" fillId="0" borderId="0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 indent="2"/>
    </xf>
    <xf numFmtId="49" fontId="9" fillId="0" borderId="0" xfId="0" applyNumberFormat="1" applyFont="1" applyFill="1" applyBorder="1" applyAlignment="1">
      <alignment horizontal="left" vertical="center" wrapText="1" indent="2"/>
    </xf>
    <xf numFmtId="0" fontId="11" fillId="0" borderId="4" xfId="0" applyFont="1" applyFill="1" applyBorder="1" applyAlignment="1">
      <alignment vertical="center" wrapText="1"/>
    </xf>
    <xf numFmtId="3" fontId="12" fillId="0" borderId="4" xfId="1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165" fontId="9" fillId="0" borderId="0" xfId="1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 wrapText="1"/>
    </xf>
    <xf numFmtId="165" fontId="15" fillId="0" borderId="0" xfId="1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165" fontId="15" fillId="0" borderId="5" xfId="1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165" fontId="15" fillId="3" borderId="0" xfId="1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vertical="center"/>
    </xf>
    <xf numFmtId="166" fontId="15" fillId="0" borderId="4" xfId="1" applyNumberFormat="1" applyFont="1" applyFill="1" applyBorder="1" applyAlignment="1">
      <alignment horizontal="right" vertical="center"/>
    </xf>
    <xf numFmtId="0" fontId="15" fillId="0" borderId="2" xfId="0" applyFont="1" applyFill="1" applyBorder="1" applyAlignment="1">
      <alignment vertical="center"/>
    </xf>
    <xf numFmtId="165" fontId="15" fillId="3" borderId="2" xfId="1" applyNumberFormat="1" applyFont="1" applyFill="1" applyBorder="1" applyAlignment="1">
      <alignment horizontal="right" vertical="center"/>
    </xf>
    <xf numFmtId="167" fontId="9" fillId="0" borderId="2" xfId="1" applyNumberFormat="1" applyFont="1" applyFill="1" applyBorder="1" applyAlignment="1">
      <alignment horizontal="right" vertical="center"/>
    </xf>
    <xf numFmtId="0" fontId="17" fillId="0" borderId="2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 indent="1"/>
    </xf>
    <xf numFmtId="167" fontId="9" fillId="0" borderId="0" xfId="1" applyNumberFormat="1" applyFont="1" applyFill="1" applyBorder="1" applyAlignment="1">
      <alignment horizontal="right" vertical="center"/>
    </xf>
    <xf numFmtId="0" fontId="15" fillId="0" borderId="4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168" fontId="9" fillId="0" borderId="0" xfId="1" applyNumberFormat="1" applyFont="1" applyFill="1" applyBorder="1" applyAlignment="1">
      <alignment horizontal="right" vertical="center"/>
    </xf>
    <xf numFmtId="167" fontId="16" fillId="0" borderId="2" xfId="1" applyNumberFormat="1" applyFont="1" applyFill="1" applyBorder="1" applyAlignment="1">
      <alignment horizontal="left" vertical="center"/>
    </xf>
    <xf numFmtId="167" fontId="9" fillId="0" borderId="2" xfId="1" applyNumberFormat="1" applyFont="1" applyFill="1" applyBorder="1" applyAlignment="1">
      <alignment horizontal="left" vertical="center"/>
    </xf>
    <xf numFmtId="166" fontId="15" fillId="0" borderId="2" xfId="1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/>
    </xf>
    <xf numFmtId="169" fontId="19" fillId="0" borderId="0" xfId="0" applyNumberFormat="1" applyFont="1" applyFill="1" applyAlignment="1">
      <alignment horizontal="center"/>
    </xf>
    <xf numFmtId="0" fontId="18" fillId="0" borderId="0" xfId="0" applyFont="1" applyFill="1"/>
    <xf numFmtId="0" fontId="18" fillId="0" borderId="0" xfId="0" applyFont="1"/>
    <xf numFmtId="0" fontId="6" fillId="4" borderId="7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/>
    </xf>
    <xf numFmtId="0" fontId="6" fillId="0" borderId="9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left" vertical="center"/>
    </xf>
    <xf numFmtId="169" fontId="20" fillId="0" borderId="0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/>
    </xf>
    <xf numFmtId="169" fontId="6" fillId="0" borderId="0" xfId="0" applyNumberFormat="1" applyFont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 wrapText="1"/>
    </xf>
    <xf numFmtId="16" fontId="20" fillId="0" borderId="10" xfId="0" applyNumberFormat="1" applyFont="1" applyBorder="1" applyAlignment="1">
      <alignment horizontal="center"/>
    </xf>
    <xf numFmtId="0" fontId="6" fillId="4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20" fillId="5" borderId="15" xfId="0" applyFont="1" applyFill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20" fillId="0" borderId="20" xfId="0" applyFont="1" applyBorder="1" applyAlignment="1">
      <alignment horizontal="left" vertical="center"/>
    </xf>
    <xf numFmtId="169" fontId="20" fillId="0" borderId="2" xfId="0" applyNumberFormat="1" applyFont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horizontal="center"/>
    </xf>
    <xf numFmtId="0" fontId="20" fillId="0" borderId="18" xfId="0" applyFont="1" applyBorder="1" applyAlignment="1">
      <alignment horizontal="left" vertical="center"/>
    </xf>
    <xf numFmtId="169" fontId="20" fillId="0" borderId="5" xfId="0" applyNumberFormat="1" applyFont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0" fontId="12" fillId="6" borderId="0" xfId="0" applyFont="1" applyFill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0" fillId="6" borderId="0" xfId="0" applyFont="1" applyFill="1" applyAlignment="1">
      <alignment vertical="center" wrapText="1"/>
    </xf>
    <xf numFmtId="0" fontId="12" fillId="6" borderId="0" xfId="0" applyFont="1" applyFill="1" applyAlignment="1">
      <alignment vertical="center"/>
    </xf>
    <xf numFmtId="0" fontId="12" fillId="6" borderId="0" xfId="0" applyFont="1" applyFill="1" applyAlignment="1">
      <alignment horizontal="center" vertical="center"/>
    </xf>
    <xf numFmtId="0" fontId="12" fillId="0" borderId="6" xfId="0" applyFont="1" applyBorder="1" applyAlignment="1">
      <alignment vertical="center"/>
    </xf>
    <xf numFmtId="169" fontId="10" fillId="6" borderId="0" xfId="0" applyNumberFormat="1" applyFont="1" applyFill="1" applyAlignment="1">
      <alignment horizontal="center" vertical="center"/>
    </xf>
    <xf numFmtId="169" fontId="12" fillId="6" borderId="0" xfId="0" applyNumberFormat="1" applyFont="1" applyFill="1" applyAlignment="1">
      <alignment horizontal="center" vertical="center"/>
    </xf>
    <xf numFmtId="0" fontId="24" fillId="0" borderId="0" xfId="0" applyFont="1"/>
    <xf numFmtId="0" fontId="18" fillId="0" borderId="0" xfId="0" applyFont="1" applyAlignment="1">
      <alignment vertical="top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horizontal="center" vertical="center"/>
    </xf>
    <xf numFmtId="3" fontId="12" fillId="0" borderId="6" xfId="0" applyNumberFormat="1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0" fillId="0" borderId="6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169" fontId="10" fillId="6" borderId="0" xfId="0" applyNumberFormat="1" applyFont="1" applyFill="1" applyAlignment="1">
      <alignment horizontal="center" vertical="center" wrapText="1"/>
    </xf>
    <xf numFmtId="169" fontId="10" fillId="0" borderId="6" xfId="0" applyNumberFormat="1" applyFont="1" applyBorder="1" applyAlignment="1">
      <alignment horizontal="center" vertical="center"/>
    </xf>
    <xf numFmtId="169" fontId="10" fillId="0" borderId="6" xfId="0" applyNumberFormat="1" applyFont="1" applyBorder="1" applyAlignment="1">
      <alignment horizontal="center" vertical="center" wrapText="1"/>
    </xf>
    <xf numFmtId="0" fontId="29" fillId="0" borderId="24" xfId="0" applyFont="1" applyBorder="1" applyAlignment="1">
      <alignment vertical="center"/>
    </xf>
    <xf numFmtId="0" fontId="12" fillId="0" borderId="24" xfId="0" applyFont="1" applyBorder="1" applyAlignment="1">
      <alignment horizontal="right" vertical="center"/>
    </xf>
    <xf numFmtId="0" fontId="9" fillId="0" borderId="0" xfId="0" applyFont="1" applyAlignment="1">
      <alignment horizontal="left" vertical="center" wrapText="1" indent="1"/>
    </xf>
    <xf numFmtId="0" fontId="9" fillId="0" borderId="4" xfId="0" applyFont="1" applyBorder="1" applyAlignment="1">
      <alignment horizontal="left" vertical="center" wrapText="1" indent="1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0" fontId="12" fillId="0" borderId="4" xfId="0" applyFont="1" applyBorder="1" applyAlignment="1">
      <alignment horizontal="left" vertical="center" indent="1"/>
    </xf>
    <xf numFmtId="0" fontId="12" fillId="0" borderId="4" xfId="0" applyFont="1" applyBorder="1" applyAlignment="1">
      <alignment horizontal="center" vertical="center"/>
    </xf>
    <xf numFmtId="0" fontId="20" fillId="0" borderId="0" xfId="4" applyFont="1" applyFill="1" applyBorder="1"/>
    <xf numFmtId="1" fontId="20" fillId="0" borderId="0" xfId="4" applyNumberFormat="1" applyFont="1" applyFill="1" applyBorder="1" applyAlignment="1">
      <alignment horizontal="center"/>
    </xf>
    <xf numFmtId="1" fontId="20" fillId="0" borderId="11" xfId="4" applyNumberFormat="1" applyFont="1" applyFill="1" applyBorder="1" applyAlignment="1">
      <alignment horizontal="center"/>
    </xf>
    <xf numFmtId="1" fontId="20" fillId="0" borderId="0" xfId="4" applyNumberFormat="1" applyFont="1" applyFill="1" applyBorder="1" applyAlignment="1">
      <alignment horizontal="center" vertical="center"/>
    </xf>
    <xf numFmtId="3" fontId="20" fillId="0" borderId="0" xfId="4" applyNumberFormat="1" applyFont="1" applyFill="1" applyBorder="1" applyAlignment="1">
      <alignment horizontal="center" vertical="center"/>
    </xf>
    <xf numFmtId="0" fontId="20" fillId="0" borderId="0" xfId="4" applyFont="1" applyFill="1" applyBorder="1" applyAlignment="1">
      <alignment horizontal="left" indent="2"/>
    </xf>
    <xf numFmtId="1" fontId="30" fillId="0" borderId="0" xfId="4" applyNumberFormat="1" applyFont="1" applyFill="1" applyBorder="1" applyAlignment="1">
      <alignment horizontal="center"/>
    </xf>
    <xf numFmtId="1" fontId="30" fillId="0" borderId="11" xfId="4" applyNumberFormat="1" applyFont="1" applyFill="1" applyBorder="1" applyAlignment="1">
      <alignment horizontal="center"/>
    </xf>
    <xf numFmtId="1" fontId="30" fillId="0" borderId="0" xfId="4" applyNumberFormat="1" applyFont="1" applyFill="1" applyBorder="1" applyAlignment="1">
      <alignment horizontal="center" vertical="center"/>
    </xf>
    <xf numFmtId="0" fontId="22" fillId="0" borderId="0" xfId="4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1" fontId="30" fillId="0" borderId="11" xfId="0" applyNumberFormat="1" applyFont="1" applyFill="1" applyBorder="1" applyAlignment="1">
      <alignment horizontal="center"/>
    </xf>
    <xf numFmtId="1" fontId="30" fillId="0" borderId="0" xfId="0" applyNumberFormat="1" applyFont="1" applyFill="1" applyBorder="1" applyAlignment="1">
      <alignment horizontal="center"/>
    </xf>
    <xf numFmtId="3" fontId="30" fillId="0" borderId="11" xfId="0" applyNumberFormat="1" applyFont="1" applyFill="1" applyBorder="1" applyAlignment="1">
      <alignment horizontal="center"/>
    </xf>
    <xf numFmtId="3" fontId="30" fillId="0" borderId="0" xfId="0" applyNumberFormat="1" applyFont="1" applyFill="1" applyBorder="1" applyAlignment="1">
      <alignment horizontal="center"/>
    </xf>
    <xf numFmtId="3" fontId="8" fillId="0" borderId="11" xfId="0" applyNumberFormat="1" applyFont="1" applyFill="1" applyBorder="1" applyAlignment="1">
      <alignment horizontal="center" vertical="center" wrapText="1"/>
    </xf>
    <xf numFmtId="1" fontId="30" fillId="0" borderId="11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vertical="center"/>
    </xf>
    <xf numFmtId="1" fontId="30" fillId="0" borderId="2" xfId="4" applyNumberFormat="1" applyFont="1" applyFill="1" applyBorder="1" applyAlignment="1">
      <alignment horizontal="center"/>
    </xf>
    <xf numFmtId="3" fontId="8" fillId="0" borderId="20" xfId="0" applyNumberFormat="1" applyFont="1" applyFill="1" applyBorder="1" applyAlignment="1">
      <alignment horizontal="center" vertical="center" wrapText="1"/>
    </xf>
    <xf numFmtId="1" fontId="30" fillId="0" borderId="2" xfId="4" applyNumberFormat="1" applyFont="1" applyFill="1" applyBorder="1" applyAlignment="1">
      <alignment horizontal="center" vertical="center"/>
    </xf>
    <xf numFmtId="1" fontId="30" fillId="0" borderId="2" xfId="0" applyNumberFormat="1" applyFont="1" applyFill="1" applyBorder="1" applyAlignment="1">
      <alignment horizontal="center"/>
    </xf>
    <xf numFmtId="3" fontId="20" fillId="0" borderId="30" xfId="4" applyNumberFormat="1" applyFont="1" applyFill="1" applyBorder="1" applyAlignment="1">
      <alignment horizontal="center" vertical="center"/>
    </xf>
    <xf numFmtId="1" fontId="8" fillId="0" borderId="0" xfId="5" applyNumberFormat="1" applyFont="1" applyFill="1" applyBorder="1" applyAlignment="1">
      <alignment horizontal="center" vertical="center"/>
    </xf>
    <xf numFmtId="1" fontId="8" fillId="0" borderId="0" xfId="5" applyNumberFormat="1" applyFont="1" applyFill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0" fillId="0" borderId="0" xfId="0" applyFont="1"/>
    <xf numFmtId="0" fontId="18" fillId="0" borderId="0" xfId="4" applyFont="1" applyFill="1" applyBorder="1" applyAlignment="1">
      <alignment horizontal="center"/>
    </xf>
    <xf numFmtId="0" fontId="21" fillId="0" borderId="0" xfId="0" applyFont="1" applyBorder="1" applyAlignment="1">
      <alignment vertical="center" wrapText="1"/>
    </xf>
    <xf numFmtId="2" fontId="12" fillId="0" borderId="0" xfId="0" applyNumberFormat="1" applyFont="1" applyAlignment="1">
      <alignment horizontal="center"/>
    </xf>
    <xf numFmtId="169" fontId="10" fillId="6" borderId="0" xfId="0" applyNumberFormat="1" applyFont="1" applyFill="1" applyAlignment="1">
      <alignment horizontal="center"/>
    </xf>
    <xf numFmtId="169" fontId="12" fillId="6" borderId="0" xfId="0" applyNumberFormat="1" applyFont="1" applyFill="1" applyAlignment="1">
      <alignment horizontal="center"/>
    </xf>
    <xf numFmtId="169" fontId="12" fillId="0" borderId="6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169" fontId="9" fillId="0" borderId="0" xfId="0" applyNumberFormat="1" applyFont="1" applyAlignment="1">
      <alignment horizontal="center"/>
    </xf>
    <xf numFmtId="0" fontId="21" fillId="0" borderId="0" xfId="0" applyFont="1"/>
    <xf numFmtId="0" fontId="12" fillId="0" borderId="12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6" fillId="0" borderId="5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/>
    </xf>
    <xf numFmtId="0" fontId="24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23" fillId="0" borderId="17" xfId="0" applyFont="1" applyBorder="1" applyAlignment="1">
      <alignment vertical="center"/>
    </xf>
    <xf numFmtId="0" fontId="6" fillId="0" borderId="17" xfId="4" applyFont="1" applyFill="1" applyBorder="1" applyAlignment="1">
      <alignment horizontal="center" vertical="center"/>
    </xf>
    <xf numFmtId="0" fontId="6" fillId="0" borderId="16" xfId="4" applyFont="1" applyFill="1" applyBorder="1" applyAlignment="1">
      <alignment horizontal="center" vertical="center"/>
    </xf>
    <xf numFmtId="0" fontId="6" fillId="0" borderId="27" xfId="4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wrapText="1"/>
    </xf>
    <xf numFmtId="0" fontId="33" fillId="6" borderId="0" xfId="0" applyFont="1" applyFill="1" applyAlignment="1">
      <alignment horizontal="left" vertical="center"/>
    </xf>
    <xf numFmtId="169" fontId="10" fillId="0" borderId="0" xfId="0" applyNumberFormat="1" applyFont="1" applyAlignment="1">
      <alignment horizontal="center"/>
    </xf>
    <xf numFmtId="0" fontId="12" fillId="6" borderId="2" xfId="0" applyFont="1" applyFill="1" applyBorder="1" applyAlignment="1">
      <alignment vertical="center" wrapText="1"/>
    </xf>
    <xf numFmtId="169" fontId="12" fillId="6" borderId="2" xfId="0" applyNumberFormat="1" applyFont="1" applyFill="1" applyBorder="1" applyAlignment="1">
      <alignment horizontal="center"/>
    </xf>
    <xf numFmtId="169" fontId="10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169" fontId="12" fillId="0" borderId="6" xfId="0" applyNumberFormat="1" applyFont="1" applyBorder="1" applyAlignment="1">
      <alignment horizontal="center" vertical="center"/>
    </xf>
    <xf numFmtId="1" fontId="12" fillId="0" borderId="6" xfId="0" applyNumberFormat="1" applyFont="1" applyBorder="1" applyAlignment="1">
      <alignment horizontal="center" vertical="center"/>
    </xf>
    <xf numFmtId="169" fontId="10" fillId="0" borderId="25" xfId="0" applyNumberFormat="1" applyFont="1" applyBorder="1" applyAlignment="1">
      <alignment horizontal="center" vertical="center"/>
    </xf>
    <xf numFmtId="169" fontId="10" fillId="0" borderId="5" xfId="0" applyNumberFormat="1" applyFont="1" applyBorder="1" applyAlignment="1">
      <alignment horizontal="center" vertical="center"/>
    </xf>
    <xf numFmtId="169" fontId="10" fillId="0" borderId="33" xfId="0" applyNumberFormat="1" applyFont="1" applyBorder="1" applyAlignment="1">
      <alignment horizontal="center" vertical="center"/>
    </xf>
    <xf numFmtId="169" fontId="10" fillId="0" borderId="26" xfId="0" applyNumberFormat="1" applyFont="1" applyBorder="1" applyAlignment="1">
      <alignment horizontal="center" vertical="center"/>
    </xf>
    <xf numFmtId="169" fontId="12" fillId="0" borderId="4" xfId="0" applyNumberFormat="1" applyFont="1" applyBorder="1" applyAlignment="1">
      <alignment horizontal="center" vertical="center"/>
    </xf>
    <xf numFmtId="169" fontId="12" fillId="0" borderId="26" xfId="0" applyNumberFormat="1" applyFont="1" applyBorder="1" applyAlignment="1">
      <alignment horizontal="center" vertical="center"/>
    </xf>
    <xf numFmtId="169" fontId="28" fillId="0" borderId="0" xfId="0" applyNumberFormat="1" applyFont="1" applyAlignment="1">
      <alignment horizontal="center" vertical="center"/>
    </xf>
    <xf numFmtId="169" fontId="28" fillId="0" borderId="33" xfId="0" applyNumberFormat="1" applyFont="1" applyBorder="1" applyAlignment="1">
      <alignment horizontal="center" vertical="center"/>
    </xf>
    <xf numFmtId="169" fontId="12" fillId="0" borderId="0" xfId="0" applyNumberFormat="1" applyFont="1" applyAlignment="1">
      <alignment horizontal="center" vertical="center"/>
    </xf>
    <xf numFmtId="169" fontId="28" fillId="0" borderId="5" xfId="0" applyNumberFormat="1" applyFont="1" applyBorder="1" applyAlignment="1">
      <alignment horizontal="center" vertical="center"/>
    </xf>
    <xf numFmtId="169" fontId="10" fillId="0" borderId="0" xfId="0" applyNumberFormat="1" applyFont="1" applyBorder="1" applyAlignment="1">
      <alignment horizontal="center" vertical="center"/>
    </xf>
    <xf numFmtId="169" fontId="12" fillId="0" borderId="0" xfId="0" applyNumberFormat="1" applyFont="1" applyBorder="1" applyAlignment="1">
      <alignment horizontal="center" vertical="center"/>
    </xf>
    <xf numFmtId="169" fontId="10" fillId="0" borderId="34" xfId="0" applyNumberFormat="1" applyFont="1" applyBorder="1" applyAlignment="1">
      <alignment horizontal="center" vertical="center"/>
    </xf>
    <xf numFmtId="169" fontId="12" fillId="0" borderId="12" xfId="0" applyNumberFormat="1" applyFont="1" applyBorder="1" applyAlignment="1">
      <alignment horizontal="center" vertical="center"/>
    </xf>
    <xf numFmtId="169" fontId="28" fillId="0" borderId="25" xfId="0" applyNumberFormat="1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165" fontId="15" fillId="0" borderId="17" xfId="1" applyNumberFormat="1" applyFont="1" applyFill="1" applyBorder="1" applyAlignment="1">
      <alignment horizontal="right" vertical="center"/>
    </xf>
    <xf numFmtId="165" fontId="15" fillId="8" borderId="0" xfId="1" applyNumberFormat="1" applyFont="1" applyFill="1" applyBorder="1" applyAlignment="1">
      <alignment horizontal="right" vertical="center"/>
    </xf>
    <xf numFmtId="165" fontId="15" fillId="8" borderId="17" xfId="1" applyNumberFormat="1" applyFont="1" applyFill="1" applyBorder="1" applyAlignment="1">
      <alignment horizontal="right" vertical="center"/>
    </xf>
    <xf numFmtId="169" fontId="14" fillId="0" borderId="4" xfId="0" applyNumberFormat="1" applyFont="1" applyFill="1" applyBorder="1" applyAlignment="1">
      <alignment horizontal="center" vertical="center"/>
    </xf>
    <xf numFmtId="169" fontId="14" fillId="0" borderId="4" xfId="0" applyNumberFormat="1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169" fontId="6" fillId="0" borderId="38" xfId="0" applyNumberFormat="1" applyFont="1" applyBorder="1" applyAlignment="1">
      <alignment horizontal="center" vertical="center" wrapText="1"/>
    </xf>
    <xf numFmtId="169" fontId="6" fillId="0" borderId="39" xfId="0" applyNumberFormat="1" applyFont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169" fontId="6" fillId="0" borderId="40" xfId="0" applyNumberFormat="1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169" fontId="6" fillId="0" borderId="42" xfId="0" applyNumberFormat="1" applyFont="1" applyBorder="1" applyAlignment="1">
      <alignment horizontal="center" vertical="center" wrapText="1"/>
    </xf>
    <xf numFmtId="169" fontId="20" fillId="0" borderId="43" xfId="0" applyNumberFormat="1" applyFont="1" applyBorder="1" applyAlignment="1">
      <alignment horizontal="center" vertical="center" wrapText="1"/>
    </xf>
    <xf numFmtId="169" fontId="6" fillId="0" borderId="44" xfId="0" applyNumberFormat="1" applyFont="1" applyBorder="1" applyAlignment="1">
      <alignment horizontal="center" vertical="center" wrapText="1"/>
    </xf>
    <xf numFmtId="0" fontId="6" fillId="4" borderId="45" xfId="2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165" fontId="14" fillId="0" borderId="0" xfId="1" applyNumberFormat="1" applyFont="1" applyFill="1" applyBorder="1" applyAlignment="1">
      <alignment horizontal="right" vertical="center"/>
    </xf>
    <xf numFmtId="0" fontId="8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left" vertical="center" wrapText="1" indent="1"/>
    </xf>
    <xf numFmtId="169" fontId="8" fillId="0" borderId="5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left" vertical="center" wrapText="1" indent="1"/>
    </xf>
    <xf numFmtId="169" fontId="8" fillId="0" borderId="0" xfId="0" applyNumberFormat="1" applyFont="1" applyFill="1" applyAlignment="1">
      <alignment horizontal="right" vertical="center"/>
    </xf>
    <xf numFmtId="0" fontId="8" fillId="0" borderId="4" xfId="0" applyFont="1" applyFill="1" applyBorder="1" applyAlignment="1">
      <alignment horizontal="left" vertical="center" wrapText="1" indent="1"/>
    </xf>
    <xf numFmtId="169" fontId="8" fillId="0" borderId="4" xfId="0" applyNumberFormat="1" applyFont="1" applyFill="1" applyBorder="1" applyAlignment="1">
      <alignment horizontal="right" vertical="center"/>
    </xf>
    <xf numFmtId="165" fontId="14" fillId="0" borderId="6" xfId="1" applyNumberFormat="1" applyFont="1" applyFill="1" applyBorder="1" applyAlignment="1">
      <alignment horizontal="right" vertical="center"/>
    </xf>
    <xf numFmtId="166" fontId="14" fillId="0" borderId="4" xfId="1" applyNumberFormat="1" applyFont="1" applyFill="1" applyBorder="1" applyAlignment="1">
      <alignment horizontal="right" vertical="center"/>
    </xf>
    <xf numFmtId="0" fontId="9" fillId="0" borderId="0" xfId="0" applyFont="1"/>
    <xf numFmtId="0" fontId="10" fillId="0" borderId="0" xfId="0" applyNumberFormat="1" applyFont="1" applyAlignment="1">
      <alignment horizontal="right" vertical="center"/>
    </xf>
    <xf numFmtId="166" fontId="12" fillId="6" borderId="0" xfId="1" applyNumberFormat="1" applyFont="1" applyFill="1" applyAlignment="1"/>
    <xf numFmtId="166" fontId="12" fillId="6" borderId="0" xfId="1" applyNumberFormat="1" applyFont="1" applyFill="1" applyAlignment="1">
      <alignment horizontal="right"/>
    </xf>
    <xf numFmtId="0" fontId="35" fillId="0" borderId="4" xfId="0" applyFont="1" applyFill="1" applyBorder="1" applyAlignment="1">
      <alignment vertical="center"/>
    </xf>
    <xf numFmtId="0" fontId="14" fillId="0" borderId="4" xfId="0" applyFont="1" applyFill="1" applyBorder="1" applyAlignment="1">
      <alignment horizontal="center" vertical="center"/>
    </xf>
    <xf numFmtId="166" fontId="8" fillId="0" borderId="25" xfId="1" applyNumberFormat="1" applyFont="1" applyFill="1" applyBorder="1" applyAlignment="1" applyProtection="1"/>
    <xf numFmtId="166" fontId="9" fillId="0" borderId="25" xfId="1" applyNumberFormat="1" applyFont="1" applyFill="1" applyBorder="1"/>
    <xf numFmtId="166" fontId="9" fillId="0" borderId="12" xfId="1" applyNumberFormat="1" applyFont="1" applyFill="1" applyBorder="1"/>
    <xf numFmtId="166" fontId="9" fillId="0" borderId="0" xfId="1" applyNumberFormat="1" applyFont="1" applyFill="1" applyBorder="1" applyAlignment="1">
      <alignment horizontal="center" vertical="center"/>
    </xf>
    <xf numFmtId="166" fontId="9" fillId="0" borderId="4" xfId="1" applyNumberFormat="1" applyFont="1" applyFill="1" applyBorder="1" applyAlignment="1">
      <alignment horizontal="center" vertical="center"/>
    </xf>
    <xf numFmtId="169" fontId="12" fillId="6" borderId="0" xfId="0" applyNumberFormat="1" applyFont="1" applyFill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0" fontId="23" fillId="0" borderId="47" xfId="0" applyFont="1" applyBorder="1" applyAlignment="1">
      <alignment horizontal="center" vertical="center" wrapText="1"/>
    </xf>
    <xf numFmtId="170" fontId="10" fillId="6" borderId="0" xfId="1" applyNumberFormat="1" applyFont="1" applyFill="1" applyAlignment="1">
      <alignment horizontal="center" vertical="center"/>
    </xf>
    <xf numFmtId="170" fontId="10" fillId="6" borderId="48" xfId="1" applyNumberFormat="1" applyFont="1" applyFill="1" applyBorder="1" applyAlignment="1">
      <alignment horizontal="center" vertical="center"/>
    </xf>
    <xf numFmtId="0" fontId="37" fillId="0" borderId="2" xfId="0" applyFont="1" applyBorder="1"/>
    <xf numFmtId="0" fontId="38" fillId="7" borderId="32" xfId="0" applyFont="1" applyFill="1" applyBorder="1" applyAlignment="1">
      <alignment horizontal="center" vertical="center"/>
    </xf>
    <xf numFmtId="0" fontId="39" fillId="0" borderId="0" xfId="6" applyFont="1" applyFill="1"/>
    <xf numFmtId="0" fontId="40" fillId="0" borderId="0" xfId="0" applyFont="1"/>
    <xf numFmtId="0" fontId="18" fillId="0" borderId="4" xfId="0" applyFont="1" applyBorder="1"/>
    <xf numFmtId="0" fontId="18" fillId="0" borderId="17" xfId="0" applyFont="1" applyBorder="1"/>
    <xf numFmtId="169" fontId="18" fillId="0" borderId="0" xfId="0" applyNumberFormat="1" applyFont="1"/>
    <xf numFmtId="2" fontId="18" fillId="0" borderId="0" xfId="0" applyNumberFormat="1" applyFont="1"/>
    <xf numFmtId="164" fontId="41" fillId="0" borderId="1" xfId="0" applyNumberFormat="1" applyFont="1" applyFill="1" applyBorder="1" applyAlignment="1">
      <alignment horizontal="right" vertical="center"/>
    </xf>
    <xf numFmtId="3" fontId="41" fillId="0" borderId="1" xfId="0" applyNumberFormat="1" applyFont="1" applyFill="1" applyBorder="1" applyAlignment="1">
      <alignment horizontal="right" vertical="center"/>
    </xf>
    <xf numFmtId="0" fontId="20" fillId="0" borderId="0" xfId="0" applyFont="1"/>
    <xf numFmtId="0" fontId="18" fillId="0" borderId="2" xfId="0" applyFont="1" applyBorder="1"/>
    <xf numFmtId="0" fontId="21" fillId="0" borderId="4" xfId="0" applyFont="1" applyBorder="1" applyAlignment="1">
      <alignment vertical="center"/>
    </xf>
    <xf numFmtId="167" fontId="9" fillId="0" borderId="4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0" fillId="0" borderId="0" xfId="0" applyNumberFormat="1" applyFont="1" applyBorder="1" applyAlignment="1">
      <alignment vertical="center"/>
    </xf>
    <xf numFmtId="0" fontId="10" fillId="0" borderId="0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0" fontId="20" fillId="0" borderId="30" xfId="4" applyFont="1" applyFill="1" applyBorder="1" applyAlignment="1">
      <alignment horizontal="center"/>
    </xf>
    <xf numFmtId="1" fontId="20" fillId="0" borderId="30" xfId="0" applyNumberFormat="1" applyFont="1" applyFill="1" applyBorder="1" applyAlignment="1">
      <alignment horizontal="center"/>
    </xf>
    <xf numFmtId="0" fontId="22" fillId="0" borderId="30" xfId="4" applyFont="1" applyFill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/>
    </xf>
    <xf numFmtId="1" fontId="20" fillId="0" borderId="2" xfId="4" applyNumberFormat="1" applyFont="1" applyFill="1" applyBorder="1" applyAlignment="1">
      <alignment horizontal="center"/>
    </xf>
    <xf numFmtId="0" fontId="6" fillId="4" borderId="1" xfId="4" applyFont="1" applyFill="1" applyBorder="1"/>
    <xf numFmtId="1" fontId="6" fillId="4" borderId="28" xfId="4" applyNumberFormat="1" applyFont="1" applyFill="1" applyBorder="1" applyAlignment="1">
      <alignment horizontal="center"/>
    </xf>
    <xf numFmtId="1" fontId="6" fillId="4" borderId="1" xfId="4" applyNumberFormat="1" applyFont="1" applyFill="1" applyBorder="1" applyAlignment="1">
      <alignment horizontal="center"/>
    </xf>
    <xf numFmtId="1" fontId="6" fillId="4" borderId="29" xfId="4" applyNumberFormat="1" applyFont="1" applyFill="1" applyBorder="1" applyAlignment="1">
      <alignment horizontal="center"/>
    </xf>
    <xf numFmtId="0" fontId="12" fillId="0" borderId="22" xfId="0" applyFont="1" applyFill="1" applyBorder="1" applyAlignment="1">
      <alignment vertical="center"/>
    </xf>
    <xf numFmtId="1" fontId="12" fillId="0" borderId="22" xfId="0" applyNumberFormat="1" applyFont="1" applyFill="1" applyBorder="1" applyAlignment="1">
      <alignment horizontal="center" vertical="center"/>
    </xf>
    <xf numFmtId="169" fontId="12" fillId="0" borderId="22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 indent="1"/>
    </xf>
    <xf numFmtId="2" fontId="12" fillId="0" borderId="4" xfId="0" applyNumberFormat="1" applyFont="1" applyFill="1" applyBorder="1" applyAlignment="1">
      <alignment horizontal="center" vertical="center"/>
    </xf>
    <xf numFmtId="165" fontId="14" fillId="0" borderId="4" xfId="0" applyNumberFormat="1" applyFont="1" applyFill="1" applyBorder="1" applyAlignment="1">
      <alignment horizontal="right" vertical="center"/>
    </xf>
    <xf numFmtId="169" fontId="14" fillId="0" borderId="4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vertical="center"/>
    </xf>
    <xf numFmtId="169" fontId="12" fillId="0" borderId="1" xfId="1" applyNumberFormat="1" applyFont="1" applyFill="1" applyBorder="1" applyAlignment="1">
      <alignment horizontal="right" vertical="center"/>
    </xf>
    <xf numFmtId="0" fontId="20" fillId="0" borderId="13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6" fillId="5" borderId="16" xfId="0" applyFont="1" applyFill="1" applyBorder="1" applyAlignment="1">
      <alignment horizontal="left" vertical="center"/>
    </xf>
    <xf numFmtId="0" fontId="6" fillId="5" borderId="17" xfId="0" applyFont="1" applyFill="1" applyBorder="1" applyAlignment="1">
      <alignment horizontal="left" vertical="center"/>
    </xf>
    <xf numFmtId="0" fontId="6" fillId="5" borderId="18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  <xf numFmtId="0" fontId="32" fillId="0" borderId="0" xfId="0" applyFont="1" applyAlignment="1">
      <alignment horizontal="right" vertical="center"/>
    </xf>
    <xf numFmtId="0" fontId="21" fillId="0" borderId="4" xfId="0" applyFont="1" applyBorder="1" applyAlignment="1">
      <alignment horizontal="left" vertical="center" wrapText="1"/>
    </xf>
    <xf numFmtId="0" fontId="21" fillId="0" borderId="4" xfId="0" applyFont="1" applyBorder="1" applyAlignment="1">
      <alignment vertical="center" wrapText="1"/>
    </xf>
    <xf numFmtId="0" fontId="28" fillId="0" borderId="5" xfId="0" applyFont="1" applyBorder="1" applyAlignment="1">
      <alignment horizontal="right" vertical="center"/>
    </xf>
    <xf numFmtId="0" fontId="21" fillId="0" borderId="0" xfId="0" applyFont="1" applyBorder="1" applyAlignment="1">
      <alignment vertical="center" wrapText="1"/>
    </xf>
    <xf numFmtId="0" fontId="23" fillId="0" borderId="5" xfId="0" applyFont="1" applyBorder="1" applyAlignment="1">
      <alignment horizontal="center" vertical="center" wrapText="1"/>
    </xf>
    <xf numFmtId="0" fontId="36" fillId="0" borderId="5" xfId="6" applyFont="1" applyBorder="1" applyAlignment="1">
      <alignment horizontal="right" vertical="center"/>
    </xf>
    <xf numFmtId="0" fontId="32" fillId="0" borderId="0" xfId="0" applyFont="1" applyBorder="1" applyAlignment="1">
      <alignment horizontal="right" vertical="center"/>
    </xf>
    <xf numFmtId="0" fontId="21" fillId="0" borderId="4" xfId="0" applyFont="1" applyBorder="1" applyAlignment="1">
      <alignment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right" vertical="center"/>
    </xf>
    <xf numFmtId="0" fontId="40" fillId="0" borderId="0" xfId="0" applyFont="1" applyAlignment="1">
      <alignment horizontal="center" vertical="center" textRotation="90"/>
    </xf>
    <xf numFmtId="0" fontId="21" fillId="0" borderId="4" xfId="4" applyFont="1" applyFill="1" applyBorder="1" applyAlignment="1">
      <alignment horizontal="center" wrapText="1"/>
    </xf>
    <xf numFmtId="0" fontId="21" fillId="0" borderId="4" xfId="4" applyFont="1" applyFill="1" applyBorder="1" applyAlignment="1">
      <alignment horizontal="center"/>
    </xf>
    <xf numFmtId="0" fontId="21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23" fillId="0" borderId="4" xfId="0" applyFont="1" applyBorder="1" applyAlignment="1">
      <alignment horizontal="center" vertical="center"/>
    </xf>
    <xf numFmtId="1" fontId="20" fillId="0" borderId="0" xfId="0" applyNumberFormat="1" applyFont="1"/>
    <xf numFmtId="0" fontId="22" fillId="6" borderId="6" xfId="0" applyFont="1" applyFill="1" applyBorder="1" applyAlignment="1">
      <alignment vertical="center"/>
    </xf>
    <xf numFmtId="0" fontId="20" fillId="0" borderId="0" xfId="0" applyFont="1" applyAlignment="1">
      <alignment horizontal="left"/>
    </xf>
    <xf numFmtId="2" fontId="20" fillId="0" borderId="0" xfId="0" applyNumberFormat="1" applyFont="1"/>
    <xf numFmtId="0" fontId="20" fillId="0" borderId="4" xfId="0" applyFont="1" applyBorder="1"/>
    <xf numFmtId="0" fontId="6" fillId="0" borderId="0" xfId="0" applyFont="1"/>
    <xf numFmtId="169" fontId="22" fillId="6" borderId="6" xfId="0" applyNumberFormat="1" applyFont="1" applyFill="1" applyBorder="1" applyAlignment="1">
      <alignment horizontal="center"/>
    </xf>
    <xf numFmtId="2" fontId="20" fillId="0" borderId="0" xfId="0" applyNumberFormat="1" applyFont="1" applyAlignment="1">
      <alignment horizontal="center"/>
    </xf>
    <xf numFmtId="169" fontId="20" fillId="0" borderId="0" xfId="0" applyNumberFormat="1" applyFont="1" applyAlignment="1">
      <alignment horizontal="center"/>
    </xf>
    <xf numFmtId="169" fontId="20" fillId="0" borderId="4" xfId="0" applyNumberFormat="1" applyFont="1" applyBorder="1" applyAlignment="1">
      <alignment horizontal="center"/>
    </xf>
    <xf numFmtId="169" fontId="6" fillId="0" borderId="0" xfId="0" applyNumberFormat="1" applyFont="1" applyAlignment="1">
      <alignment horizontal="center"/>
    </xf>
    <xf numFmtId="0" fontId="9" fillId="0" borderId="0" xfId="0" applyFont="1" applyBorder="1"/>
    <xf numFmtId="0" fontId="20" fillId="0" borderId="0" xfId="0" applyFont="1" applyFill="1"/>
    <xf numFmtId="0" fontId="20" fillId="0" borderId="0" xfId="0" applyFont="1" applyFill="1" applyAlignment="1">
      <alignment horizontal="left"/>
    </xf>
    <xf numFmtId="2" fontId="9" fillId="0" borderId="0" xfId="0" applyNumberFormat="1" applyFont="1" applyFill="1" applyAlignment="1">
      <alignment horizontal="center"/>
    </xf>
    <xf numFmtId="0" fontId="6" fillId="0" borderId="17" xfId="0" applyFont="1" applyBorder="1"/>
    <xf numFmtId="2" fontId="9" fillId="0" borderId="0" xfId="0" applyNumberFormat="1" applyFont="1" applyAlignment="1">
      <alignment horizontal="center"/>
    </xf>
    <xf numFmtId="0" fontId="6" fillId="0" borderId="17" xfId="0" applyFont="1" applyBorder="1" applyAlignment="1">
      <alignment horizontal="center"/>
    </xf>
    <xf numFmtId="0" fontId="21" fillId="0" borderId="4" xfId="0" applyFont="1" applyBorder="1" applyAlignment="1">
      <alignment horizontal="left"/>
    </xf>
  </cellXfs>
  <cellStyles count="8">
    <cellStyle name="Čiarka" xfId="1" builtinId="3"/>
    <cellStyle name="Hypertextové prepojenie" xfId="6" builtinId="8"/>
    <cellStyle name="Neutrálna" xfId="2" builtinId="28"/>
    <cellStyle name="Normal 2" xfId="3"/>
    <cellStyle name="Normálna 11" xfId="5"/>
    <cellStyle name="Normálna 2 2" xfId="7"/>
    <cellStyle name="Normálne" xfId="0" builtinId="0"/>
    <cellStyle name="Normálne 2" xfId="4"/>
  </cellStyles>
  <dxfs count="20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947589187344711E-2"/>
          <c:y val="0.1675466918497438"/>
          <c:w val="0.88778827803987326"/>
          <c:h val="0.77771866631784703"/>
        </c:manualLayout>
      </c:layout>
      <c:areaChart>
        <c:grouping val="stacked"/>
        <c:varyColors val="0"/>
        <c:ser>
          <c:idx val="0"/>
          <c:order val="2"/>
          <c:tx>
            <c:v>zelena</c:v>
          </c:tx>
          <c:spPr>
            <a:solidFill>
              <a:schemeClr val="accent1"/>
            </a:solidFill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'[1]Fiskalne ciele'!$AK$8:$AR$8</c15:sqref>
                  </c15:fullRef>
                </c:ext>
              </c:extLst>
              <c:f>'[1]Fiskalne ciele'!$AK$8:$AP$8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'[1]Fiskalne ciele'!$AK$10:$AR$10</c15:sqref>
                  </c15:fullRef>
                </c:ext>
              </c:extLst>
              <c:f>'[1]Fiskalne ciele'!$AK$10:$AP$10</c:f>
              <c:numCache>
                <c:formatCode>General</c:formatCode>
                <c:ptCount val="6"/>
                <c:pt idx="0">
                  <c:v>-4.199171236551587</c:v>
                </c:pt>
                <c:pt idx="1">
                  <c:v>-3.4593369892412698</c:v>
                </c:pt>
                <c:pt idx="2">
                  <c:v>-2.7195027419309525</c:v>
                </c:pt>
                <c:pt idx="3">
                  <c:v>-1.9796684946206351</c:v>
                </c:pt>
                <c:pt idx="4">
                  <c:v>-1.2398342473103177</c:v>
                </c:pt>
                <c:pt idx="5">
                  <c:v>-0.5</c:v>
                </c:pt>
              </c:numCache>
            </c:numRef>
          </c:val>
        </c:ser>
        <c:ser>
          <c:idx val="3"/>
          <c:order val="3"/>
          <c:tx>
            <c:strRef>
              <c:f>'[1]Fiskalne ciele'!$AJ$12</c:f>
              <c:strCache>
                <c:ptCount val="1"/>
                <c:pt idx="0">
                  <c:v>biela</c:v>
                </c:pt>
              </c:strCache>
            </c:strRef>
          </c:tx>
          <c:spPr>
            <a:noFill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'[1]Fiskalne ciele'!$AK$8:$AR$8</c15:sqref>
                  </c15:fullRef>
                </c:ext>
              </c:extLst>
              <c:f>'[1]Fiskalne ciele'!$AK$8:$AP$8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'[1]Fiskalne ciele'!$AK$12:$AR$12</c15:sqref>
                  </c15:fullRef>
                </c:ext>
              </c:extLst>
              <c:f>'[1]Fiskalne ciele'!$AK$12:$AP$12</c:f>
              <c:numCache>
                <c:formatCode>General</c:formatCode>
                <c:ptCount val="6"/>
                <c:pt idx="0">
                  <c:v>-0.5</c:v>
                </c:pt>
                <c:pt idx="1">
                  <c:v>-0.5</c:v>
                </c:pt>
                <c:pt idx="2">
                  <c:v>-0.5</c:v>
                </c:pt>
                <c:pt idx="3">
                  <c:v>-0.5</c:v>
                </c:pt>
                <c:pt idx="4">
                  <c:v>-0.5</c:v>
                </c:pt>
                <c:pt idx="5">
                  <c:v>-0.5</c:v>
                </c:pt>
              </c:numCache>
            </c:numRef>
          </c:val>
        </c:ser>
        <c:ser>
          <c:idx val="4"/>
          <c:order val="5"/>
          <c:tx>
            <c:strRef>
              <c:f>'[1]Fiskalne ciele'!$AJ$11</c:f>
              <c:strCache>
                <c:ptCount val="1"/>
                <c:pt idx="0">
                  <c:v>cervena</c:v>
                </c:pt>
              </c:strCache>
            </c:strRef>
          </c:tx>
          <c:spPr>
            <a:solidFill>
              <a:srgbClr val="F9C9BA"/>
            </a:solidFill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'[1]Fiskalne ciele'!$AK$8:$AR$8</c15:sqref>
                  </c15:fullRef>
                </c:ext>
              </c:extLst>
              <c:f>'[1]Fiskalne ciele'!$AK$8:$AP$8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'[1]Fiskalne ciele'!$AK$11:$AR$11</c15:sqref>
                  </c15:fullRef>
                </c:ext>
              </c:extLst>
              <c:f>'[1]Fiskalne ciele'!$AK$11:$AP$11</c:f>
              <c:numCache>
                <c:formatCode>General</c:formatCode>
                <c:ptCount val="6"/>
                <c:pt idx="0">
                  <c:v>0</c:v>
                </c:pt>
                <c:pt idx="1">
                  <c:v>-0.73983424731031722</c:v>
                </c:pt>
                <c:pt idx="2">
                  <c:v>-1.4796684946206344</c:v>
                </c:pt>
                <c:pt idx="3">
                  <c:v>-2.2195027419309517</c:v>
                </c:pt>
                <c:pt idx="4">
                  <c:v>-2.9593369892412693</c:v>
                </c:pt>
                <c:pt idx="5">
                  <c:v>-3.699171236551587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0266560"/>
        <c:axId val="400266952"/>
      </c:areaChart>
      <c:lineChart>
        <c:grouping val="standard"/>
        <c:varyColors val="0"/>
        <c:ser>
          <c:idx val="2"/>
          <c:order val="0"/>
          <c:tx>
            <c:strRef>
              <c:f>ŠS!$A$37</c:f>
              <c:strCache>
                <c:ptCount val="1"/>
                <c:pt idx="0">
                  <c:v>Rovnomerná cesta k MTO 2017</c:v>
                </c:pt>
              </c:strCache>
            </c:strRef>
          </c:tx>
          <c:spPr>
            <a:ln>
              <a:solidFill>
                <a:schemeClr val="accent6"/>
              </a:solidFill>
              <a:prstDash val="sysDash"/>
            </a:ln>
          </c:spPr>
          <c:marker>
            <c:symbol val="diamond"/>
            <c:size val="9"/>
            <c:spPr>
              <a:solidFill>
                <a:srgbClr val="2C9ADC"/>
              </a:solidFill>
              <a:ln>
                <a:solidFill>
                  <a:schemeClr val="accent6"/>
                </a:solidFill>
                <a:prstDash val="dash"/>
              </a:ln>
            </c:spPr>
          </c:marker>
          <c:dLbls>
            <c:dLbl>
              <c:idx val="0"/>
              <c:layout>
                <c:manualLayout>
                  <c:x val="-3.5901553199904013E-2"/>
                  <c:y val="6.5690574023829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0373996516333532E-2"/>
                  <c:y val="8.93263019922871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484643983276312E-2"/>
                  <c:y val="6.56905740238298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0141349204927699E-2"/>
                  <c:y val="-9.20849556863334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solidFill>
                <a:schemeClr val="accent6"/>
              </a:solidFill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'[1]Fiskalne ciele'!$J$9:$O$9</c15:sqref>
                  </c15:fullRef>
                </c:ext>
              </c:extLst>
              <c:f>'[1]Fiskalne ciele'!$J$9:$O$9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ŠS!$B$37:$G$37</c15:sqref>
                  </c15:fullRef>
                </c:ext>
              </c:extLst>
              <c:f>ŠS!$B$37:$G$37</c:f>
              <c:numCache>
                <c:formatCode>0.0</c:formatCode>
                <c:ptCount val="6"/>
                <c:pt idx="0">
                  <c:v>-4.1990905949022457</c:v>
                </c:pt>
                <c:pt idx="1">
                  <c:v>-3.4592724759217965</c:v>
                </c:pt>
                <c:pt idx="2">
                  <c:v>-2.7194543569413474</c:v>
                </c:pt>
                <c:pt idx="3">
                  <c:v>-1.9796362379608983</c:v>
                </c:pt>
                <c:pt idx="4">
                  <c:v>-1.2398181189804491</c:v>
                </c:pt>
                <c:pt idx="5">
                  <c:v>-0.5</c:v>
                </c:pt>
              </c:numCache>
            </c:numRef>
          </c:val>
          <c:smooth val="0"/>
          <c:extLst/>
        </c:ser>
        <c:ser>
          <c:idx val="1"/>
          <c:order val="1"/>
          <c:tx>
            <c:strRef>
              <c:f>'[1]Fiskalne ciele'!$I$13</c:f>
              <c:strCache>
                <c:ptCount val="1"/>
                <c:pt idx="0">
                  <c:v>Štrukturálne saldo</c:v>
                </c:pt>
              </c:strCache>
            </c:strRef>
          </c:tx>
          <c:spPr>
            <a:ln w="31750">
              <a:solidFill>
                <a:schemeClr val="tx1"/>
              </a:solidFill>
              <a:prstDash val="sysDash"/>
            </a:ln>
          </c:spPr>
          <c:marker>
            <c:spPr>
              <a:solidFill>
                <a:schemeClr val="bg1"/>
              </a:solidFill>
              <a:ln w="19050">
                <a:solidFill>
                  <a:schemeClr val="tx1"/>
                </a:solidFill>
                <a:prstDash val="sysDash"/>
              </a:ln>
            </c:spPr>
          </c:marker>
          <c:dPt>
            <c:idx val="1"/>
            <c:marker>
              <c:spPr>
                <a:solidFill>
                  <a:schemeClr val="bg1"/>
                </a:solidFill>
                <a:ln w="19050">
                  <a:solidFill>
                    <a:schemeClr val="tx1"/>
                  </a:solidFill>
                  <a:prstDash val="solid"/>
                </a:ln>
              </c:spPr>
            </c:marker>
            <c:bubble3D val="0"/>
            <c:spPr>
              <a:ln w="31750">
                <a:solidFill>
                  <a:schemeClr val="tx1"/>
                </a:solidFill>
                <a:prstDash val="solid"/>
              </a:ln>
            </c:spPr>
          </c:dPt>
          <c:dPt>
            <c:idx val="2"/>
            <c:marker>
              <c:spPr>
                <a:solidFill>
                  <a:schemeClr val="bg1"/>
                </a:solidFill>
                <a:ln w="19050">
                  <a:solidFill>
                    <a:schemeClr val="tx1"/>
                  </a:solidFill>
                  <a:prstDash val="solid"/>
                </a:ln>
              </c:spPr>
            </c:marker>
            <c:bubble3D val="0"/>
            <c:spPr>
              <a:ln w="31750">
                <a:solidFill>
                  <a:schemeClr val="tx1"/>
                </a:solidFill>
                <a:prstDash val="solid"/>
              </a:ln>
            </c:spPr>
          </c:dPt>
          <c:dPt>
            <c:idx val="3"/>
            <c:marker>
              <c:spPr>
                <a:solidFill>
                  <a:schemeClr val="bg1"/>
                </a:solidFill>
                <a:ln w="19050">
                  <a:solidFill>
                    <a:schemeClr val="tx1"/>
                  </a:solidFill>
                  <a:prstDash val="solid"/>
                </a:ln>
              </c:spPr>
            </c:marker>
            <c:bubble3D val="0"/>
            <c:spPr>
              <a:ln w="31750">
                <a:solidFill>
                  <a:schemeClr val="tx1"/>
                </a:solidFill>
                <a:prstDash val="solid"/>
              </a:ln>
            </c:spPr>
          </c:dPt>
          <c:dPt>
            <c:idx val="4"/>
            <c:marker>
              <c:spPr>
                <a:solidFill>
                  <a:schemeClr val="bg1"/>
                </a:solidFill>
                <a:ln w="19050">
                  <a:solidFill>
                    <a:schemeClr val="tx1"/>
                  </a:solidFill>
                  <a:prstDash val="solid"/>
                </a:ln>
              </c:spPr>
            </c:marker>
            <c:bubble3D val="0"/>
            <c:spPr>
              <a:ln w="31750">
                <a:solidFill>
                  <a:schemeClr val="tx1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3.5007858995946183E-2"/>
                  <c:y val="-0.138437835243821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053541567951658E-2"/>
                  <c:y val="-7.09071839053720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13228212068992E-2"/>
                  <c:y val="-7.428371647229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2145993592677982E-2"/>
                  <c:y val="7.7450813241971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2110226734281792E-2"/>
                  <c:y val="5.7401053637682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7637783417852373E-2"/>
                  <c:y val="5.40245210707596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'[1]Fiskalne ciele'!$J$9:$O$9</c15:sqref>
                  </c15:fullRef>
                </c:ext>
              </c:extLst>
              <c:f>'[1]Fiskalne ciele'!$J$9:$O$9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ŠS!$B$6:$E$6</c15:sqref>
                  </c15:fullRef>
                </c:ext>
              </c:extLst>
              <c:f>ŠS!$B$6:$E$6</c:f>
              <c:numCache>
                <c:formatCode>0.0</c:formatCode>
                <c:ptCount val="4"/>
                <c:pt idx="0">
                  <c:v>-4.1990905949022457</c:v>
                </c:pt>
                <c:pt idx="1">
                  <c:v>-2.3118981351656149</c:v>
                </c:pt>
                <c:pt idx="2">
                  <c:v>-2.4261281673287645</c:v>
                </c:pt>
                <c:pt idx="3">
                  <c:v>-2.5465002246383737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266560"/>
        <c:axId val="400266952"/>
        <c:extLst>
          <c:ext xmlns:c15="http://schemas.microsoft.com/office/drawing/2012/chart" uri="{02D57815-91ED-43cb-92C2-25804820EDAC}">
            <c15:filteredLineSeries>
              <c15:ser>
                <c:idx val="5"/>
                <c:order val="4"/>
                <c:tx>
                  <c:strRef>
                    <c:extLst>
                      <c:ext uri="{02D57815-91ED-43cb-92C2-25804820EDAC}">
                        <c15:formulaRef>
                          <c15:sqref>'[1]Fiskalne ciele'!$I$21</c15:sqref>
                        </c15:formulaRef>
                      </c:ext>
                    </c:extLst>
                    <c:strCache>
                      <c:ptCount val="1"/>
                      <c:pt idx="0">
                        <c:v>Odhad rovnomernej cesty k MTO 2019</c:v>
                      </c:pt>
                    </c:strCache>
                  </c:strRef>
                </c:tx>
                <c:spPr>
                  <a:ln>
                    <a:solidFill>
                      <a:srgbClr val="FF0000"/>
                    </a:solidFill>
                  </a:ln>
                </c:spPr>
                <c:marker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</a:ln>
                  </c:spPr>
                </c:marker>
                <c:dPt>
                  <c:idx val="0"/>
                  <c:marker>
                    <c:spPr>
                      <a:noFill/>
                      <a:ln>
                        <a:noFill/>
                      </a:ln>
                    </c:spPr>
                  </c:marker>
                  <c:bubble3D val="0"/>
                  <c:spPr>
                    <a:ln>
                      <a:noFill/>
                    </a:ln>
                  </c:spPr>
                </c:dPt>
                <c:dPt>
                  <c:idx val="1"/>
                  <c:marker>
                    <c:spPr>
                      <a:noFill/>
                      <a:ln>
                        <a:noFill/>
                      </a:ln>
                    </c:spPr>
                  </c:marker>
                  <c:bubble3D val="0"/>
                  <c:spPr>
                    <a:ln>
                      <a:noFill/>
                    </a:ln>
                  </c:spPr>
                </c:dPt>
                <c:dPt>
                  <c:idx val="2"/>
                  <c:marker>
                    <c:spPr>
                      <a:noFill/>
                      <a:ln>
                        <a:noFill/>
                      </a:ln>
                    </c:spPr>
                  </c:marker>
                  <c:bubble3D val="0"/>
                  <c:spPr>
                    <a:ln>
                      <a:noFill/>
                    </a:ln>
                  </c:spPr>
                </c:dPt>
                <c:dPt>
                  <c:idx val="3"/>
                  <c:marker>
                    <c:spPr>
                      <a:solidFill>
                        <a:srgbClr val="FF0000"/>
                      </a:solidFill>
                      <a:ln>
                        <a:noFill/>
                      </a:ln>
                    </c:spPr>
                  </c:marker>
                  <c:bubble3D val="0"/>
                  <c:spPr>
                    <a:ln>
                      <a:noFill/>
                    </a:ln>
                  </c:spPr>
                </c:dPt>
                <c:dPt>
                  <c:idx val="4"/>
                  <c:marker>
                    <c:spPr>
                      <a:solidFill>
                        <a:srgbClr val="FF0000"/>
                      </a:solidFill>
                      <a:ln>
                        <a:solidFill>
                          <a:srgbClr val="FF0000"/>
                        </a:solidFill>
                        <a:prstDash val="sysDot"/>
                      </a:ln>
                    </c:spPr>
                  </c:marker>
                  <c:bubble3D val="0"/>
                  <c:spPr>
                    <a:ln>
                      <a:solidFill>
                        <a:srgbClr val="FF0000"/>
                      </a:solidFill>
                      <a:prstDash val="sysDot"/>
                    </a:ln>
                  </c:spPr>
                </c:dPt>
                <c:dPt>
                  <c:idx val="5"/>
                  <c:marker>
                    <c:spPr>
                      <a:solidFill>
                        <a:srgbClr val="FF0000"/>
                      </a:solidFill>
                      <a:ln>
                        <a:solidFill>
                          <a:srgbClr val="FF0000"/>
                        </a:solidFill>
                        <a:prstDash val="sysDot"/>
                      </a:ln>
                    </c:spPr>
                  </c:marker>
                  <c:bubble3D val="0"/>
                  <c:spPr>
                    <a:ln>
                      <a:solidFill>
                        <a:srgbClr val="FF0000"/>
                      </a:solidFill>
                      <a:prstDash val="sysDot"/>
                    </a:ln>
                  </c:spPr>
                </c:dPt>
                <c:dLbls>
                  <c:dLbl>
                    <c:idx val="4"/>
                    <c:layout>
                      <c:manualLayout>
                        <c:x val="-2.3648064660388032E-2"/>
                        <c:y val="6.023917005918248E-2"/>
                      </c:manualLayout>
                    </c:layout>
                    <c:spPr>
                      <a:noFill/>
                      <a:ln>
                        <a:solidFill>
                          <a:srgbClr val="FF0000"/>
                        </a:solidFill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/>
                        </a:pPr>
                        <a:endParaRPr lang="sk-SK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:dLbl>
                  <c:dLbl>
                    <c:idx val="5"/>
                    <c:layout>
                      <c:manualLayout>
                        <c:x val="1.1824032330194016E-2"/>
                        <c:y val="-1.0039861676530414E-2"/>
                      </c:manualLayout>
                    </c:layout>
                    <c:spPr>
                      <a:noFill/>
                      <a:ln>
                        <a:solidFill>
                          <a:srgbClr val="FF0000"/>
                        </a:solidFill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/>
                        </a:pPr>
                        <a:endParaRPr lang="sk-SK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  <c15:leaderLines>
                        <c:spPr>
                          <a:ln>
                            <a:solidFill>
                              <a:srgbClr val="FF0000"/>
                            </a:solidFill>
                          </a:ln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ullRef>
                          <c15:sqref>'[1]Fiskalne ciele'!$J$9:$O$9</c15:sqref>
                        </c15:fullRef>
                        <c15:formulaRef>
                          <c15:sqref>'[1]Fiskalne ciele'!$J$9:$O$9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2012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'[1]Fiskalne ciele'!$J$21:$O$21</c15:sqref>
                        </c15:fullRef>
                        <c15:formulaRef>
                          <c15:sqref>'[1]Fiskalne ciele'!$J$21:$O$21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-2.5494654966414712</c:v>
                      </c:pt>
                      <c:pt idx="4">
                        <c:v>-2.0370991224811035</c:v>
                      </c:pt>
                      <c:pt idx="5">
                        <c:v>-1.5247327483207358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400266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high"/>
        <c:crossAx val="400266952"/>
        <c:crosses val="autoZero"/>
        <c:auto val="1"/>
        <c:lblAlgn val="ctr"/>
        <c:lblOffset val="100"/>
        <c:noMultiLvlLbl val="0"/>
      </c:catAx>
      <c:valAx>
        <c:axId val="40026695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ln/>
        </c:spPr>
        <c:crossAx val="400266560"/>
        <c:crosses val="autoZero"/>
        <c:crossBetween val="between"/>
      </c:valAx>
      <c:spPr>
        <a:ln>
          <a:noFill/>
        </a:ln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15551700415567715"/>
          <c:y val="1.081115578883504E-2"/>
          <c:w val="0.84448294065235763"/>
          <c:h val="5.7601137113152401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851366841176945E-2"/>
          <c:y val="2.8673830501214685E-2"/>
          <c:w val="0.9050048423091499"/>
          <c:h val="0.845511656983535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ŠS!$A$9</c:f>
              <c:strCache>
                <c:ptCount val="1"/>
                <c:pt idx="0">
                  <c:v>Odchýlka MTO 2017 (jednoročná)</c:v>
                </c:pt>
              </c:strCache>
            </c:strRef>
          </c:tx>
          <c:spPr>
            <a:solidFill>
              <a:srgbClr val="B0D6AF"/>
            </a:solidFill>
          </c:spPr>
          <c:invertIfNegative val="1"/>
          <c:dPt>
            <c:idx val="0"/>
            <c:invertIfNegative val="1"/>
            <c:bubble3D val="0"/>
            <c:spPr>
              <a:solidFill>
                <a:srgbClr val="B0D6AF"/>
              </a:solidFill>
            </c:spPr>
          </c:dPt>
          <c:dPt>
            <c:idx val="1"/>
            <c:invertIfNegative val="1"/>
            <c:bubble3D val="0"/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ŠS!$C$2:$E$2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ŠS!$C$9:$E$9</c:f>
              <c:numCache>
                <c:formatCode>0.0</c:formatCode>
                <c:ptCount val="3"/>
                <c:pt idx="0">
                  <c:v>1.1473743407561816</c:v>
                </c:pt>
                <c:pt idx="1">
                  <c:v>0.29332618961258294</c:v>
                </c:pt>
                <c:pt idx="2">
                  <c:v>-0.5668639866774754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9C9BA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00267736"/>
        <c:axId val="400268128"/>
      </c:barChart>
      <c:catAx>
        <c:axId val="400267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k-SK"/>
          </a:p>
        </c:txPr>
        <c:crossAx val="400268128"/>
        <c:crosses val="autoZero"/>
        <c:auto val="1"/>
        <c:lblAlgn val="ctr"/>
        <c:lblOffset val="100"/>
        <c:noMultiLvlLbl val="0"/>
      </c:catAx>
      <c:valAx>
        <c:axId val="400268128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k-SK"/>
          </a:p>
        </c:txPr>
        <c:crossAx val="400267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6389895707481"/>
          <c:y val="5.146198830409357E-2"/>
          <c:w val="0.85756030496187974"/>
          <c:h val="0.868907491826679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'Cyklická zložka'!$A$4</c:f>
              <c:strCache>
                <c:ptCount val="1"/>
                <c:pt idx="0">
                  <c:v>Priame dane domácností</c:v>
                </c:pt>
              </c:strCache>
            </c:strRef>
          </c:tx>
          <c:spPr>
            <a:solidFill>
              <a:srgbClr val="AAD3F2"/>
            </a:solidFill>
          </c:spPr>
          <c:invertIfNegative val="0"/>
          <c:cat>
            <c:numRef>
              <c:f>'Cyklická zložka'!$C$2:$E$2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'Cyklická zložka'!$C$4:$E$4</c:f>
              <c:numCache>
                <c:formatCode>0.0</c:formatCode>
                <c:ptCount val="3"/>
                <c:pt idx="0">
                  <c:v>-3.4130330962073567E-2</c:v>
                </c:pt>
                <c:pt idx="1">
                  <c:v>-4.0318354470303457E-2</c:v>
                </c:pt>
                <c:pt idx="2">
                  <c:v>-2.6116469312382228E-2</c:v>
                </c:pt>
              </c:numCache>
            </c:numRef>
          </c:val>
        </c:ser>
        <c:ser>
          <c:idx val="1"/>
          <c:order val="1"/>
          <c:tx>
            <c:strRef>
              <c:f>'Cyklická zložka'!$A$5</c:f>
              <c:strCache>
                <c:ptCount val="1"/>
                <c:pt idx="0">
                  <c:v>Odvody</c:v>
                </c:pt>
              </c:strCache>
            </c:strRef>
          </c:tx>
          <c:spPr>
            <a:solidFill>
              <a:srgbClr val="F9C9BA"/>
            </a:solidFill>
          </c:spPr>
          <c:invertIfNegative val="0"/>
          <c:cat>
            <c:numRef>
              <c:f>'Cyklická zložka'!$C$2:$E$2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'Cyklická zložka'!$C$5:$E$5</c:f>
              <c:numCache>
                <c:formatCode>0.0</c:formatCode>
                <c:ptCount val="3"/>
                <c:pt idx="0">
                  <c:v>-0.1508734029974079</c:v>
                </c:pt>
                <c:pt idx="1">
                  <c:v>-0.17191933348883748</c:v>
                </c:pt>
                <c:pt idx="2">
                  <c:v>-0.10883406589875903</c:v>
                </c:pt>
              </c:numCache>
            </c:numRef>
          </c:val>
        </c:ser>
        <c:ser>
          <c:idx val="2"/>
          <c:order val="2"/>
          <c:tx>
            <c:strRef>
              <c:f>'Cyklická zložka'!$A$6</c:f>
              <c:strCache>
                <c:ptCount val="1"/>
                <c:pt idx="0">
                  <c:v>DPPO</c:v>
                </c:pt>
              </c:strCache>
            </c:strRef>
          </c:tx>
          <c:spPr>
            <a:solidFill>
              <a:srgbClr val="D9D3AB"/>
            </a:solidFill>
          </c:spPr>
          <c:invertIfNegative val="0"/>
          <c:cat>
            <c:numRef>
              <c:f>'Cyklická zložka'!$C$2:$E$2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'Cyklická zložka'!$C$6:$E$6</c:f>
              <c:numCache>
                <c:formatCode>0.0</c:formatCode>
                <c:ptCount val="3"/>
                <c:pt idx="0">
                  <c:v>-5.5451374917236916E-2</c:v>
                </c:pt>
                <c:pt idx="1">
                  <c:v>-3.5001567220228819E-2</c:v>
                </c:pt>
                <c:pt idx="2">
                  <c:v>-2.6051615578147242E-2</c:v>
                </c:pt>
              </c:numCache>
            </c:numRef>
          </c:val>
        </c:ser>
        <c:ser>
          <c:idx val="3"/>
          <c:order val="3"/>
          <c:tx>
            <c:strRef>
              <c:f>'Cyklická zložka'!$A$7</c:f>
              <c:strCache>
                <c:ptCount val="1"/>
                <c:pt idx="0">
                  <c:v>Nedaňové príjmy</c:v>
                </c:pt>
              </c:strCache>
            </c:strRef>
          </c:tx>
          <c:spPr>
            <a:solidFill>
              <a:srgbClr val="D3BEDE"/>
            </a:solidFill>
          </c:spPr>
          <c:invertIfNegative val="0"/>
          <c:cat>
            <c:numRef>
              <c:f>'Cyklická zložka'!$C$2:$E$2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'Cyklická zložka'!$C$7:$E$7</c:f>
              <c:numCache>
                <c:formatCode>0.0</c:formatCode>
                <c:ptCount val="3"/>
                <c:pt idx="0">
                  <c:v>-9.9454018115690379E-2</c:v>
                </c:pt>
                <c:pt idx="1">
                  <c:v>-5.4224656007826569E-2</c:v>
                </c:pt>
                <c:pt idx="2">
                  <c:v>-3.8788706373632929E-2</c:v>
                </c:pt>
              </c:numCache>
            </c:numRef>
          </c:val>
        </c:ser>
        <c:ser>
          <c:idx val="4"/>
          <c:order val="4"/>
          <c:tx>
            <c:strRef>
              <c:f>'Cyklická zložka'!$A$8</c:f>
              <c:strCache>
                <c:ptCount val="1"/>
                <c:pt idx="0">
                  <c:v>Nepriame dane</c:v>
                </c:pt>
              </c:strCache>
            </c:strRef>
          </c:tx>
          <c:spPr>
            <a:solidFill>
              <a:srgbClr val="B0D6AF"/>
            </a:solidFill>
          </c:spPr>
          <c:invertIfNegative val="0"/>
          <c:cat>
            <c:numRef>
              <c:f>'Cyklická zložka'!$C$2:$E$2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'Cyklická zložka'!$C$8:$E$8</c:f>
              <c:numCache>
                <c:formatCode>0.0</c:formatCode>
                <c:ptCount val="3"/>
                <c:pt idx="0">
                  <c:v>-0.22018153997264336</c:v>
                </c:pt>
                <c:pt idx="1">
                  <c:v>-0.117543203919105</c:v>
                </c:pt>
                <c:pt idx="2">
                  <c:v>-5.7034248954583047E-2</c:v>
                </c:pt>
              </c:numCache>
            </c:numRef>
          </c:val>
        </c:ser>
        <c:ser>
          <c:idx val="5"/>
          <c:order val="5"/>
          <c:tx>
            <c:strRef>
              <c:f>'Cyklická zložka'!$A$9</c:f>
              <c:strCache>
                <c:ptCount val="1"/>
                <c:pt idx="0">
                  <c:v>Dôchodky</c:v>
                </c:pt>
              </c:strCache>
            </c:strRef>
          </c:tx>
          <c:spPr>
            <a:solidFill>
              <a:srgbClr val="818386"/>
            </a:solidFill>
          </c:spPr>
          <c:invertIfNegative val="0"/>
          <c:cat>
            <c:numRef>
              <c:f>'Cyklická zložka'!$C$2:$E$2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'Cyklická zložka'!$C$9:$E$9</c:f>
              <c:numCache>
                <c:formatCode>0.0</c:formatCode>
                <c:ptCount val="3"/>
                <c:pt idx="0">
                  <c:v>-1.4711982959337741E-2</c:v>
                </c:pt>
                <c:pt idx="1">
                  <c:v>4.4082556673422993E-2</c:v>
                </c:pt>
                <c:pt idx="2">
                  <c:v>7.5308896209596604E-2</c:v>
                </c:pt>
              </c:numCache>
            </c:numRef>
          </c:val>
        </c:ser>
        <c:ser>
          <c:idx val="6"/>
          <c:order val="6"/>
          <c:tx>
            <c:strRef>
              <c:f>'Cyklická zložka'!$A$10</c:f>
              <c:strCache>
                <c:ptCount val="1"/>
                <c:pt idx="0">
                  <c:v>Dávky v nezamestnanosti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numRef>
              <c:f>'Cyklická zložka'!$C$2:$E$2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'Cyklická zložka'!$C$10:$E$10</c:f>
              <c:numCache>
                <c:formatCode>0.0</c:formatCode>
                <c:ptCount val="3"/>
                <c:pt idx="0">
                  <c:v>-2.3851726866316841E-2</c:v>
                </c:pt>
                <c:pt idx="1">
                  <c:v>-1.9501741175381331E-2</c:v>
                </c:pt>
                <c:pt idx="2">
                  <c:v>-1.0633274577486274E-2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9142424"/>
        <c:axId val="409142816"/>
      </c:barChart>
      <c:lineChart>
        <c:grouping val="standard"/>
        <c:varyColors val="0"/>
        <c:ser>
          <c:idx val="7"/>
          <c:order val="7"/>
          <c:tx>
            <c:strRef>
              <c:f>'Cyklická zložka'!$A$11</c:f>
              <c:strCache>
                <c:ptCount val="1"/>
                <c:pt idx="0">
                  <c:v>Spolu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'[3]2016jun_chart'!$A$8:$A$10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'Cyklická zložka'!$C$11:$E$11</c:f>
              <c:numCache>
                <c:formatCode>0.0</c:formatCode>
                <c:ptCount val="3"/>
                <c:pt idx="0">
                  <c:v>-0.59865437679070677</c:v>
                </c:pt>
                <c:pt idx="1">
                  <c:v>-0.3944262996082597</c:v>
                </c:pt>
                <c:pt idx="2">
                  <c:v>-0.19214948448539415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142424"/>
        <c:axId val="409142816"/>
      </c:lineChart>
      <c:catAx>
        <c:axId val="409142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409142816"/>
        <c:crosses val="autoZero"/>
        <c:auto val="1"/>
        <c:lblAlgn val="ctr"/>
        <c:lblOffset val="100"/>
        <c:noMultiLvlLbl val="0"/>
      </c:catAx>
      <c:valAx>
        <c:axId val="409142816"/>
        <c:scaling>
          <c:orientation val="minMax"/>
          <c:min val="-0.9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0.0" sourceLinked="1"/>
        <c:majorTickMark val="out"/>
        <c:minorTickMark val="none"/>
        <c:tickLblPos val="nextTo"/>
        <c:crossAx val="4091424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2025527630963938"/>
          <c:y val="0.69699022535976107"/>
          <c:w val="0.8699784694881888"/>
          <c:h val="0.215895450568678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488407699037617E-2"/>
          <c:y val="5.1400554097404488E-2"/>
          <c:w val="0.89747000022994639"/>
          <c:h val="0.65417726636227003"/>
        </c:manualLayout>
      </c:layout>
      <c:lineChart>
        <c:grouping val="standard"/>
        <c:varyColors val="0"/>
        <c:ser>
          <c:idx val="0"/>
          <c:order val="0"/>
          <c:tx>
            <c:strRef>
              <c:f>'Cyklická zložka'!$A$33</c:f>
              <c:strCache>
                <c:ptCount val="1"/>
                <c:pt idx="0">
                  <c:v>Kompenzácie v súkromnom sektore</c:v>
                </c:pt>
              </c:strCache>
            </c:strRef>
          </c:tx>
          <c:marker>
            <c:symbol val="none"/>
          </c:marker>
          <c:cat>
            <c:strRef>
              <c:f>'Cyklická zložka'!$B$32:$U$32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strCache>
            </c:strRef>
          </c:cat>
          <c:val>
            <c:numRef>
              <c:f>'Cyklická zložka'!$B$33:$U$33</c:f>
              <c:numCache>
                <c:formatCode>0.00</c:formatCode>
                <c:ptCount val="20"/>
                <c:pt idx="0">
                  <c:v>-1.4918234864249591E-2</c:v>
                </c:pt>
                <c:pt idx="1">
                  <c:v>-2.1718453606549559E-2</c:v>
                </c:pt>
                <c:pt idx="2">
                  <c:v>-1.599216595004993E-2</c:v>
                </c:pt>
                <c:pt idx="3">
                  <c:v>-1.7055517145729837E-2</c:v>
                </c:pt>
                <c:pt idx="4">
                  <c:v>-8.3413105080403227E-3</c:v>
                </c:pt>
                <c:pt idx="5">
                  <c:v>5.695028443139627E-3</c:v>
                </c:pt>
                <c:pt idx="6">
                  <c:v>2.6780389437700336E-2</c:v>
                </c:pt>
                <c:pt idx="7">
                  <c:v>6.8272642169359798E-2</c:v>
                </c:pt>
                <c:pt idx="8">
                  <c:v>3.6145901335290276E-2</c:v>
                </c:pt>
                <c:pt idx="9">
                  <c:v>-1.1523331621580368E-2</c:v>
                </c:pt>
                <c:pt idx="10">
                  <c:v>6.9445297581998133E-3</c:v>
                </c:pt>
                <c:pt idx="11">
                  <c:v>6.4988080827195205E-3</c:v>
                </c:pt>
                <c:pt idx="12">
                  <c:v>3.4130540110703933E-3</c:v>
                </c:pt>
                <c:pt idx="13">
                  <c:v>-9.8837786616901013E-3</c:v>
                </c:pt>
                <c:pt idx="14">
                  <c:v>-1.6974559927040112E-2</c:v>
                </c:pt>
                <c:pt idx="15">
                  <c:v>-1.2842035882009901E-2</c:v>
                </c:pt>
                <c:pt idx="16">
                  <c:v>-2.5745856298099667E-2</c:v>
                </c:pt>
                <c:pt idx="17">
                  <c:v>-1.1663139887669871E-2</c:v>
                </c:pt>
                <c:pt idx="18">
                  <c:v>4.5946830423027052E-4</c:v>
                </c:pt>
                <c:pt idx="19">
                  <c:v>1.9448562812570458E-2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'Cyklická zložka'!$A$34</c:f>
              <c:strCache>
                <c:ptCount val="1"/>
                <c:pt idx="0">
                  <c:v>Spotreba domácností v s.c.</c:v>
                </c:pt>
              </c:strCache>
            </c:strRef>
          </c:tx>
          <c:marker>
            <c:symbol val="none"/>
          </c:marker>
          <c:cat>
            <c:strRef>
              <c:f>'Cyklická zložka'!$B$32:$U$32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strCache>
            </c:strRef>
          </c:cat>
          <c:val>
            <c:numRef>
              <c:f>'Cyklická zložka'!$B$34:$U$34</c:f>
              <c:numCache>
                <c:formatCode>0.00</c:formatCode>
                <c:ptCount val="20"/>
                <c:pt idx="0">
                  <c:v>2.8809169990040573E-4</c:v>
                </c:pt>
                <c:pt idx="1">
                  <c:v>1.7628319367997136E-3</c:v>
                </c:pt>
                <c:pt idx="2">
                  <c:v>7.9607067970997036E-3</c:v>
                </c:pt>
                <c:pt idx="3">
                  <c:v>-1.4126439941000157E-2</c:v>
                </c:pt>
                <c:pt idx="4">
                  <c:v>-1.9715278214599508E-2</c:v>
                </c:pt>
                <c:pt idx="5">
                  <c:v>-1.4470019337899487E-2</c:v>
                </c:pt>
                <c:pt idx="6">
                  <c:v>-7.339490454199904E-3</c:v>
                </c:pt>
                <c:pt idx="7">
                  <c:v>2.1573407818500812E-2</c:v>
                </c:pt>
                <c:pt idx="8">
                  <c:v>4.4804857744599857E-2</c:v>
                </c:pt>
                <c:pt idx="9">
                  <c:v>1.634895265259928E-2</c:v>
                </c:pt>
                <c:pt idx="10">
                  <c:v>8.010023198901095E-3</c:v>
                </c:pt>
                <c:pt idx="11">
                  <c:v>-3.6918934117995406E-3</c:v>
                </c:pt>
                <c:pt idx="12">
                  <c:v>-1.1710806844499544E-2</c:v>
                </c:pt>
                <c:pt idx="13">
                  <c:v>-2.5656604898099289E-2</c:v>
                </c:pt>
                <c:pt idx="14">
                  <c:v>-1.3329776155700301E-2</c:v>
                </c:pt>
                <c:pt idx="15">
                  <c:v>-6.4422831622987786E-3</c:v>
                </c:pt>
                <c:pt idx="16">
                  <c:v>2.7456473046996166E-3</c:v>
                </c:pt>
                <c:pt idx="17">
                  <c:v>2.7366470903995577E-3</c:v>
                </c:pt>
                <c:pt idx="18">
                  <c:v>4.0532637937005234E-3</c:v>
                </c:pt>
                <c:pt idx="19">
                  <c:v>6.198162382700545E-3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'Cyklická zložka'!$A$37</c:f>
              <c:strCache>
                <c:ptCount val="1"/>
                <c:pt idx="0">
                  <c:v>Produkčná medzera</c:v>
                </c:pt>
              </c:strCache>
            </c:strRef>
          </c:tx>
          <c:marker>
            <c:symbol val="none"/>
          </c:marker>
          <c:cat>
            <c:strRef>
              <c:f>'Cyklická zložka'!$B$32:$U$32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strCache>
            </c:strRef>
          </c:cat>
          <c:val>
            <c:numRef>
              <c:f>'Cyklická zložka'!$B$37:$U$37</c:f>
              <c:numCache>
                <c:formatCode>0.00</c:formatCode>
                <c:ptCount val="20"/>
                <c:pt idx="0">
                  <c:v>-1.7044968557226502E-2</c:v>
                </c:pt>
                <c:pt idx="1">
                  <c:v>-1.46801540533617E-2</c:v>
                </c:pt>
                <c:pt idx="2">
                  <c:v>-9.3797555318269193E-3</c:v>
                </c:pt>
                <c:pt idx="3">
                  <c:v>-6.6399180718630501E-3</c:v>
                </c:pt>
                <c:pt idx="4">
                  <c:v>-1.1157642639722101E-2</c:v>
                </c:pt>
                <c:pt idx="5">
                  <c:v>-1.7795407385142001E-2</c:v>
                </c:pt>
                <c:pt idx="6">
                  <c:v>-1.0306257710426502E-2</c:v>
                </c:pt>
                <c:pt idx="7">
                  <c:v>1.48068627275036E-2</c:v>
                </c:pt>
                <c:pt idx="8">
                  <c:v>2.6675892115425801E-2</c:v>
                </c:pt>
                <c:pt idx="9">
                  <c:v>-4.0914285573130302E-2</c:v>
                </c:pt>
                <c:pt idx="10">
                  <c:v>-8.9198060088492397E-3</c:v>
                </c:pt>
                <c:pt idx="11">
                  <c:v>-1.0286734354662199E-2</c:v>
                </c:pt>
                <c:pt idx="12">
                  <c:v>-1.09275429240353E-2</c:v>
                </c:pt>
                <c:pt idx="13">
                  <c:v>-1.9307726393800198E-2</c:v>
                </c:pt>
                <c:pt idx="14">
                  <c:v>-1.35047473520131E-2</c:v>
                </c:pt>
                <c:pt idx="15">
                  <c:v>-7.8665962538484596E-3</c:v>
                </c:pt>
                <c:pt idx="16">
                  <c:v>-3.4554704520820801E-3</c:v>
                </c:pt>
                <c:pt idx="17">
                  <c:v>2.7985881608725499E-3</c:v>
                </c:pt>
                <c:pt idx="18">
                  <c:v>6.1482220486228896E-3</c:v>
                </c:pt>
                <c:pt idx="19">
                  <c:v>1.2826668652167601E-2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'Cyklická zložka'!$A$35</c:f>
              <c:strCache>
                <c:ptCount val="1"/>
                <c:pt idx="0">
                  <c:v>Hrubý zmiešaný dôchodok</c:v>
                </c:pt>
              </c:strCache>
            </c:strRef>
          </c:tx>
          <c:spPr>
            <a:ln>
              <a:solidFill>
                <a:srgbClr val="F9C9BA"/>
              </a:solidFill>
            </a:ln>
          </c:spPr>
          <c:marker>
            <c:symbol val="none"/>
          </c:marker>
          <c:cat>
            <c:strRef>
              <c:f>'Cyklická zložka'!$B$32:$U$32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strCache>
            </c:strRef>
          </c:cat>
          <c:val>
            <c:numRef>
              <c:f>'Cyklická zložka'!$B$35:$U$35</c:f>
              <c:numCache>
                <c:formatCode>0.00</c:formatCode>
                <c:ptCount val="20"/>
                <c:pt idx="0">
                  <c:v>-3.7579677940435374E-2</c:v>
                </c:pt>
                <c:pt idx="1">
                  <c:v>-1.9973239420700395E-2</c:v>
                </c:pt>
                <c:pt idx="2">
                  <c:v>-4.8083199536232968E-3</c:v>
                </c:pt>
                <c:pt idx="3">
                  <c:v>-3.9393750781222536E-3</c:v>
                </c:pt>
                <c:pt idx="4">
                  <c:v>-2.9660861110372139E-3</c:v>
                </c:pt>
                <c:pt idx="5">
                  <c:v>-3.7014387429598727E-2</c:v>
                </c:pt>
                <c:pt idx="6">
                  <c:v>-2.4823128058416799E-2</c:v>
                </c:pt>
                <c:pt idx="7">
                  <c:v>1.0842317841218474E-2</c:v>
                </c:pt>
                <c:pt idx="8">
                  <c:v>1.7143336245588614E-2</c:v>
                </c:pt>
                <c:pt idx="9">
                  <c:v>-8.0961609323193073E-2</c:v>
                </c:pt>
                <c:pt idx="10">
                  <c:v>-9.5995251796523462E-3</c:v>
                </c:pt>
                <c:pt idx="11">
                  <c:v>-1.5998274138416591E-2</c:v>
                </c:pt>
                <c:pt idx="12">
                  <c:v>-1.4972541376167214E-2</c:v>
                </c:pt>
                <c:pt idx="13">
                  <c:v>-1.9332294598937594E-2</c:v>
                </c:pt>
                <c:pt idx="14">
                  <c:v>-1.1028190865141951E-2</c:v>
                </c:pt>
                <c:pt idx="15">
                  <c:v>-7.5773592013739233E-3</c:v>
                </c:pt>
                <c:pt idx="16">
                  <c:v>-6.5789794739572471E-3</c:v>
                </c:pt>
                <c:pt idx="17">
                  <c:v>3.3708728884853656E-3</c:v>
                </c:pt>
                <c:pt idx="18">
                  <c:v>7.2833982775701855E-3</c:v>
                </c:pt>
                <c:pt idx="19">
                  <c:v>1.845648613928752E-2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'Cyklická zložka'!$A$36</c:f>
              <c:strCache>
                <c:ptCount val="1"/>
                <c:pt idx="0">
                  <c:v>Zamestnanosť v súkromnom sektore</c:v>
                </c:pt>
              </c:strCache>
            </c:strRef>
          </c:tx>
          <c:marker>
            <c:symbol val="none"/>
          </c:marker>
          <c:cat>
            <c:strRef>
              <c:f>'Cyklická zložka'!$B$32:$U$32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strCache>
            </c:strRef>
          </c:cat>
          <c:val>
            <c:numRef>
              <c:f>'Cyklická zložka'!$B$36:$U$36</c:f>
              <c:numCache>
                <c:formatCode>0.00</c:formatCode>
                <c:ptCount val="20"/>
                <c:pt idx="0">
                  <c:v>9.5680484039784002E-3</c:v>
                </c:pt>
                <c:pt idx="1">
                  <c:v>-1.0483692920668201E-2</c:v>
                </c:pt>
                <c:pt idx="2">
                  <c:v>-1.95771433114337E-2</c:v>
                </c:pt>
                <c:pt idx="3">
                  <c:v>-1.31638669499434E-2</c:v>
                </c:pt>
                <c:pt idx="4">
                  <c:v>-2.88918776266156E-2</c:v>
                </c:pt>
                <c:pt idx="5">
                  <c:v>1.17682849972737E-2</c:v>
                </c:pt>
                <c:pt idx="6">
                  <c:v>1.42861699379448E-2</c:v>
                </c:pt>
                <c:pt idx="7">
                  <c:v>2.55950402025781E-2</c:v>
                </c:pt>
                <c:pt idx="8">
                  <c:v>5.2904229943084802E-2</c:v>
                </c:pt>
                <c:pt idx="9">
                  <c:v>1.96944949315511E-2</c:v>
                </c:pt>
                <c:pt idx="10">
                  <c:v>-1.0331670286515901E-2</c:v>
                </c:pt>
                <c:pt idx="11">
                  <c:v>-2.8803197920490502E-3</c:v>
                </c:pt>
                <c:pt idx="12">
                  <c:v>-6.7137276839481699E-3</c:v>
                </c:pt>
                <c:pt idx="13">
                  <c:v>-2.5150032784879699E-2</c:v>
                </c:pt>
                <c:pt idx="14">
                  <c:v>-2.1917554175781801E-2</c:v>
                </c:pt>
                <c:pt idx="15">
                  <c:v>-1.0735210993708199E-2</c:v>
                </c:pt>
                <c:pt idx="16">
                  <c:v>8.0354088765321996E-4</c:v>
                </c:pt>
                <c:pt idx="17">
                  <c:v>2.64816643972665E-3</c:v>
                </c:pt>
                <c:pt idx="18">
                  <c:v>5.9624051991553602E-3</c:v>
                </c:pt>
                <c:pt idx="19">
                  <c:v>6.61471557977222E-3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4288536"/>
        <c:axId val="329264680"/>
      </c:lineChart>
      <c:catAx>
        <c:axId val="534288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329264680"/>
        <c:crosses val="autoZero"/>
        <c:auto val="1"/>
        <c:lblAlgn val="ctr"/>
        <c:lblOffset val="100"/>
        <c:noMultiLvlLbl val="0"/>
      </c:catAx>
      <c:valAx>
        <c:axId val="329264680"/>
        <c:scaling>
          <c:orientation val="minMax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.00" sourceLinked="0"/>
        <c:majorTickMark val="out"/>
        <c:minorTickMark val="none"/>
        <c:tickLblPos val="nextTo"/>
        <c:crossAx val="5342885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2406816554918305"/>
          <c:w val="0.99549596808087726"/>
          <c:h val="0.147686616434566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hyperlink" Target="#'Obsah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Obsah'!A1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7</xdr:col>
      <xdr:colOff>73025</xdr:colOff>
      <xdr:row>2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8067675" y="219075"/>
          <a:ext cx="68262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5</xdr:col>
      <xdr:colOff>73025</xdr:colOff>
      <xdr:row>2</xdr:row>
      <xdr:rowOff>34925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305425" y="200025"/>
          <a:ext cx="68262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7</xdr:col>
      <xdr:colOff>73025</xdr:colOff>
      <xdr:row>2</xdr:row>
      <xdr:rowOff>53975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343525" y="200025"/>
          <a:ext cx="68262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0</xdr:rowOff>
    </xdr:from>
    <xdr:to>
      <xdr:col>11</xdr:col>
      <xdr:colOff>73025</xdr:colOff>
      <xdr:row>2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6276975" y="200025"/>
          <a:ext cx="68262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0</xdr:row>
      <xdr:rowOff>123825</xdr:rowOff>
    </xdr:from>
    <xdr:to>
      <xdr:col>7</xdr:col>
      <xdr:colOff>101600</xdr:colOff>
      <xdr:row>1</xdr:row>
      <xdr:rowOff>177800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4305300" y="123825"/>
          <a:ext cx="68262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114300</xdr:colOff>
      <xdr:row>12</xdr:row>
      <xdr:rowOff>47625</xdr:rowOff>
    </xdr:from>
    <xdr:to>
      <xdr:col>5</xdr:col>
      <xdr:colOff>571499</xdr:colOff>
      <xdr:row>25</xdr:row>
      <xdr:rowOff>142874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285750</xdr:colOff>
      <xdr:row>12</xdr:row>
      <xdr:rowOff>57150</xdr:rowOff>
    </xdr:from>
    <xdr:to>
      <xdr:col>12</xdr:col>
      <xdr:colOff>257175</xdr:colOff>
      <xdr:row>25</xdr:row>
      <xdr:rowOff>19050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0.18471</cdr:x>
      <cdr:y>0.30337</cdr:y>
    </cdr:from>
    <cdr:to>
      <cdr:x>0.21178</cdr:x>
      <cdr:y>0.48596</cdr:y>
    </cdr:to>
    <cdr:sp macro="" textlink="">
      <cdr:nvSpPr>
        <cdr:cNvPr id="4" name="Textové pole 3"/>
        <cdr:cNvSpPr txBox="1"/>
      </cdr:nvSpPr>
      <cdr:spPr>
        <a:xfrm xmlns:a="http://schemas.openxmlformats.org/drawingml/2006/main" rot="18350066">
          <a:off x="876300" y="1257300"/>
          <a:ext cx="619125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k-SK" sz="1100"/>
        </a:p>
      </cdr:txBody>
    </cdr:sp>
  </cdr:relSizeAnchor>
  <cdr:relSizeAnchor xmlns:cdr="http://schemas.openxmlformats.org/drawingml/2006/chartDrawing">
    <cdr:from>
      <cdr:x>0.15634</cdr:x>
      <cdr:y>0.17697</cdr:y>
    </cdr:from>
    <cdr:to>
      <cdr:x>0.21525</cdr:x>
      <cdr:y>0.66106</cdr:y>
    </cdr:to>
    <cdr:sp macro="" textlink="">
      <cdr:nvSpPr>
        <cdr:cNvPr id="6" name="Textové pole 1"/>
        <cdr:cNvSpPr txBox="1"/>
      </cdr:nvSpPr>
      <cdr:spPr>
        <a:xfrm xmlns:a="http://schemas.openxmlformats.org/drawingml/2006/main" rot="18203146">
          <a:off x="290629" y="1244627"/>
          <a:ext cx="1641475" cy="352425"/>
        </a:xfrm>
        <a:prstGeom xmlns:a="http://schemas.openxmlformats.org/drawingml/2006/main" prst="rect">
          <a:avLst/>
        </a:prstGeom>
      </cdr:spPr>
    </cdr:sp>
  </cdr:relSizeAnchor>
  <cdr:relSizeAnchor xmlns:cdr="http://schemas.openxmlformats.org/drawingml/2006/chartDrawing">
    <cdr:from>
      <cdr:x>0.15634</cdr:x>
      <cdr:y>0.17697</cdr:y>
    </cdr:from>
    <cdr:to>
      <cdr:x>0.21525</cdr:x>
      <cdr:y>0.66106</cdr:y>
    </cdr:to>
    <cdr:sp macro="" textlink="">
      <cdr:nvSpPr>
        <cdr:cNvPr id="7" name="Textové pole 1"/>
        <cdr:cNvSpPr txBox="1"/>
      </cdr:nvSpPr>
      <cdr:spPr>
        <a:xfrm xmlns:a="http://schemas.openxmlformats.org/drawingml/2006/main" rot="18203146">
          <a:off x="290629" y="1244627"/>
          <a:ext cx="1641475" cy="352425"/>
        </a:xfrm>
        <a:prstGeom xmlns:a="http://schemas.openxmlformats.org/drawingml/2006/main" prst="rect">
          <a:avLst/>
        </a:prstGeom>
      </cdr:spPr>
    </cdr:sp>
  </cdr:relSizeAnchor>
  <cdr:relSizeAnchor xmlns:cdr="http://schemas.openxmlformats.org/drawingml/2006/chartDrawing">
    <cdr:from>
      <cdr:x>0.15634</cdr:x>
      <cdr:y>0.17697</cdr:y>
    </cdr:from>
    <cdr:to>
      <cdr:x>0.21525</cdr:x>
      <cdr:y>0.66106</cdr:y>
    </cdr:to>
    <cdr:sp macro="" textlink="">
      <cdr:nvSpPr>
        <cdr:cNvPr id="8" name="Textové pole 1"/>
        <cdr:cNvSpPr txBox="1"/>
      </cdr:nvSpPr>
      <cdr:spPr>
        <a:xfrm xmlns:a="http://schemas.openxmlformats.org/drawingml/2006/main" rot="18203146">
          <a:off x="290629" y="1244627"/>
          <a:ext cx="1641475" cy="352425"/>
        </a:xfrm>
        <a:prstGeom xmlns:a="http://schemas.openxmlformats.org/drawingml/2006/main" prst="rect">
          <a:avLst/>
        </a:prstGeom>
      </cdr:spPr>
    </cdr:sp>
  </cdr:relSizeAnchor>
  <cdr:relSizeAnchor xmlns:cdr="http://schemas.openxmlformats.org/drawingml/2006/chartDrawing">
    <cdr:from>
      <cdr:x>0.18344</cdr:x>
      <cdr:y>0.22347</cdr:y>
    </cdr:from>
    <cdr:to>
      <cdr:x>0.5131</cdr:x>
      <cdr:y>0.36049</cdr:y>
    </cdr:to>
    <cdr:sp macro="" textlink="">
      <cdr:nvSpPr>
        <cdr:cNvPr id="2" name="Textové pole 1"/>
        <cdr:cNvSpPr txBox="1"/>
      </cdr:nvSpPr>
      <cdr:spPr>
        <a:xfrm xmlns:a="http://schemas.openxmlformats.org/drawingml/2006/main">
          <a:off x="1182202" y="840524"/>
          <a:ext cx="2124495" cy="5153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k-SK" sz="800">
              <a:latin typeface="Arial Narrow" panose="020B0606020202030204" pitchFamily="34" charset="0"/>
            </a:rPr>
            <a:t>Pásmo bez</a:t>
          </a:r>
          <a:r>
            <a:rPr lang="sk-SK" sz="800" baseline="0">
              <a:latin typeface="Arial Narrow" panose="020B0606020202030204" pitchFamily="34" charset="0"/>
            </a:rPr>
            <a:t> odchýlenia od MTO</a:t>
          </a:r>
          <a:endParaRPr lang="sk-SK" sz="800"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0.31907</cdr:x>
      <cdr:y>0.60174</cdr:y>
    </cdr:from>
    <cdr:to>
      <cdr:x>1</cdr:x>
      <cdr:y>0.71788</cdr:y>
    </cdr:to>
    <cdr:sp macro="" textlink="">
      <cdr:nvSpPr>
        <cdr:cNvPr id="10" name="Textové pole 1"/>
        <cdr:cNvSpPr txBox="1"/>
      </cdr:nvSpPr>
      <cdr:spPr>
        <a:xfrm xmlns:a="http://schemas.openxmlformats.org/drawingml/2006/main">
          <a:off x="890463" y="1195608"/>
          <a:ext cx="1900362" cy="230768"/>
        </a:xfrm>
        <a:prstGeom xmlns:a="http://schemas.openxmlformats.org/drawingml/2006/main" prst="rect">
          <a:avLst/>
        </a:prstGeom>
      </cdr:spPr>
    </cdr:sp>
  </cdr:relSizeAnchor>
  <cdr:relSizeAnchor xmlns:cdr="http://schemas.openxmlformats.org/drawingml/2006/chartDrawing">
    <cdr:from>
      <cdr:x>0.48206</cdr:x>
      <cdr:y>0.69524</cdr:y>
    </cdr:from>
    <cdr:to>
      <cdr:x>0.88021</cdr:x>
      <cdr:y>0.864</cdr:y>
    </cdr:to>
    <cdr:sp macro="" textlink="">
      <cdr:nvSpPr>
        <cdr:cNvPr id="3" name="Textové pole 2"/>
        <cdr:cNvSpPr txBox="1"/>
      </cdr:nvSpPr>
      <cdr:spPr>
        <a:xfrm xmlns:a="http://schemas.openxmlformats.org/drawingml/2006/main">
          <a:off x="3106655" y="2614961"/>
          <a:ext cx="2565879" cy="6347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k-SK" sz="800">
              <a:latin typeface="Arial Narrow" panose="020B0606020202030204" pitchFamily="34" charset="0"/>
            </a:rPr>
            <a:t>Pásmo výrazného odchýlenia od MTO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0.73228</cdr:x>
      <cdr:y>0.08203</cdr:y>
    </cdr:from>
    <cdr:to>
      <cdr:x>0.94595</cdr:x>
      <cdr:y>0.9951</cdr:y>
    </cdr:to>
    <cdr:sp macro="" textlink="">
      <cdr:nvSpPr>
        <cdr:cNvPr id="2" name="Obdĺžnik 1"/>
        <cdr:cNvSpPr/>
      </cdr:nvSpPr>
      <cdr:spPr>
        <a:xfrm xmlns:a="http://schemas.openxmlformats.org/drawingml/2006/main">
          <a:off x="2657474" y="200024"/>
          <a:ext cx="775401" cy="22264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9050">
          <a:solidFill>
            <a:schemeClr val="tx1"/>
          </a:solidFill>
          <a:prstDash val="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/>
        <a:p xmlns:a="http://schemas.openxmlformats.org/drawingml/2006/main">
          <a:endParaRPr lang="sk-SK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8</xdr:col>
      <xdr:colOff>73025</xdr:colOff>
      <xdr:row>2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7077075" y="200025"/>
          <a:ext cx="68262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5</xdr:col>
      <xdr:colOff>28575</xdr:colOff>
      <xdr:row>27</xdr:row>
      <xdr:rowOff>104775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123826</xdr:colOff>
      <xdr:row>40</xdr:row>
      <xdr:rowOff>38101</xdr:rowOff>
    </xdr:from>
    <xdr:to>
      <xdr:col>6</xdr:col>
      <xdr:colOff>85725</xdr:colOff>
      <xdr:row>57</xdr:row>
      <xdr:rowOff>66675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28575</xdr:colOff>
      <xdr:row>0</xdr:row>
      <xdr:rowOff>76200</xdr:rowOff>
    </xdr:from>
    <xdr:to>
      <xdr:col>9</xdr:col>
      <xdr:colOff>177800</xdr:colOff>
      <xdr:row>1</xdr:row>
      <xdr:rowOff>158750</xdr:rowOff>
    </xdr:to>
    <xdr:sp macro="" textlink="">
      <xdr:nvSpPr>
        <xdr:cNvPr id="4" name="Zaoblený obdĺžnik 3">
          <a:hlinkClick xmlns:r="http://schemas.openxmlformats.org/officeDocument/2006/relationships" r:id="rId3"/>
        </xdr:cNvPr>
        <xdr:cNvSpPr/>
      </xdr:nvSpPr>
      <xdr:spPr>
        <a:xfrm>
          <a:off x="5772150" y="76200"/>
          <a:ext cx="68262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7</xdr:col>
      <xdr:colOff>73025</xdr:colOff>
      <xdr:row>2</xdr:row>
      <xdr:rowOff>44450</xdr:rowOff>
    </xdr:to>
    <xdr:sp macro="" textlink="">
      <xdr:nvSpPr>
        <xdr:cNvPr id="3" name="Zaoblený obdĺžnik 2">
          <a:hlinkClick xmlns:r="http://schemas.openxmlformats.org/officeDocument/2006/relationships" r:id="rId1"/>
        </xdr:cNvPr>
        <xdr:cNvSpPr/>
      </xdr:nvSpPr>
      <xdr:spPr>
        <a:xfrm>
          <a:off x="6696075" y="209550"/>
          <a:ext cx="68262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6</xdr:col>
      <xdr:colOff>73025</xdr:colOff>
      <xdr:row>2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6076950" y="200025"/>
          <a:ext cx="68262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9</xdr:col>
      <xdr:colOff>73025</xdr:colOff>
      <xdr:row>2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353050" y="390525"/>
          <a:ext cx="68262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FP_NEW\2_FISKAL\04_Modely\01_Konsolidacne%20usilie%20a%20fiskalny%20impulz\Vypocet_fiskalnych_cielov_a_rizik_CURRENT_prepocitana%20cesta%20k%20MTO_0206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FP_NEW\5_MATERIALY\5_3_Strategicke_materialy\Fiskalny%20kompakt%20hodnotenie\2016%20maj\Expenditure%20benchmark_j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FP_NEW\5_MATERIALY\5_3_Strategicke_materialy\Fiskalny%20kompakt%20hodnotenie\2016%20maj\cyklicka_zlozka\CC_201606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kalne ciele"/>
      <sheetName val="Neistoty 2015 2016"/>
    </sheetNames>
    <sheetDataSet>
      <sheetData sheetId="0">
        <row r="8">
          <cell r="AK8">
            <v>2012</v>
          </cell>
          <cell r="AL8">
            <v>2013</v>
          </cell>
          <cell r="AM8">
            <v>2014</v>
          </cell>
          <cell r="AN8">
            <v>2015</v>
          </cell>
          <cell r="AO8">
            <v>2016</v>
          </cell>
          <cell r="AP8">
            <v>2017</v>
          </cell>
          <cell r="AQ8">
            <v>2018</v>
          </cell>
          <cell r="AR8">
            <v>2019</v>
          </cell>
        </row>
        <row r="9">
          <cell r="J9">
            <v>2012</v>
          </cell>
          <cell r="K9">
            <v>2013</v>
          </cell>
          <cell r="L9">
            <v>2014</v>
          </cell>
          <cell r="M9">
            <v>2015</v>
          </cell>
          <cell r="N9">
            <v>2016</v>
          </cell>
          <cell r="O9">
            <v>2017</v>
          </cell>
        </row>
        <row r="10">
          <cell r="AK10">
            <v>-4.199171236551587</v>
          </cell>
          <cell r="AL10">
            <v>-3.4593369892412698</v>
          </cell>
          <cell r="AM10">
            <v>-2.7195027419309525</v>
          </cell>
          <cell r="AN10">
            <v>-1.9796684946206351</v>
          </cell>
          <cell r="AO10">
            <v>-1.2398342473103177</v>
          </cell>
          <cell r="AP10">
            <v>-0.5</v>
          </cell>
          <cell r="AQ10"/>
          <cell r="AR10"/>
        </row>
        <row r="11">
          <cell r="AJ11" t="str">
            <v>cervena</v>
          </cell>
          <cell r="AK11">
            <v>0</v>
          </cell>
          <cell r="AL11">
            <v>-0.73983424731031722</v>
          </cell>
          <cell r="AM11">
            <v>-1.4796684946206344</v>
          </cell>
          <cell r="AN11">
            <v>-2.2195027419309517</v>
          </cell>
          <cell r="AO11">
            <v>-2.9593369892412693</v>
          </cell>
          <cell r="AP11">
            <v>-3.699171236551587</v>
          </cell>
          <cell r="AQ11"/>
          <cell r="AR11"/>
        </row>
        <row r="12">
          <cell r="AJ12" t="str">
            <v>biela</v>
          </cell>
          <cell r="AK12">
            <v>-0.5</v>
          </cell>
          <cell r="AL12">
            <v>-0.5</v>
          </cell>
          <cell r="AM12">
            <v>-0.5</v>
          </cell>
          <cell r="AN12">
            <v>-0.5</v>
          </cell>
          <cell r="AO12">
            <v>-0.5</v>
          </cell>
          <cell r="AP12">
            <v>-0.5</v>
          </cell>
          <cell r="AQ12"/>
          <cell r="AR12"/>
        </row>
        <row r="13">
          <cell r="I13" t="str">
            <v>Štrukturálne saldo</v>
          </cell>
        </row>
        <row r="18">
          <cell r="I18" t="str">
            <v>Odchýlka MTO 2017 (jednoročná)</v>
          </cell>
        </row>
        <row r="21">
          <cell r="I21" t="str">
            <v>Odhad rovnomernej cesty k MTO 2019</v>
          </cell>
          <cell r="J21">
            <v>0</v>
          </cell>
          <cell r="K21">
            <v>0</v>
          </cell>
          <cell r="L21">
            <v>0</v>
          </cell>
          <cell r="M21">
            <v>-2.5494654966414712</v>
          </cell>
          <cell r="N21">
            <v>-2.0370991224811035</v>
          </cell>
          <cell r="O21">
            <v>-1.5247327483207358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SK June 2016_layout"/>
      <sheetName val="Data SK June 2016"/>
      <sheetName val="Data SK June 2016 RRZ"/>
      <sheetName val="Diskrecionárne opatrenia"/>
      <sheetName val="T12"/>
      <sheetName val="Data SK June 2016 old pristup"/>
      <sheetName val="Methodology"/>
    </sheetNames>
    <sheetDataSet>
      <sheetData sheetId="0"/>
      <sheetData sheetId="1">
        <row r="2">
          <cell r="C2">
            <v>2013</v>
          </cell>
          <cell r="D2">
            <v>2014</v>
          </cell>
          <cell r="E2">
            <v>2015</v>
          </cell>
        </row>
        <row r="3">
          <cell r="A3" t="str">
            <v>Makroekonomické predpoklady</v>
          </cell>
        </row>
        <row r="4">
          <cell r="A4" t="str">
            <v>Potencialny rast HDP (v %)</v>
          </cell>
        </row>
        <row r="5">
          <cell r="A5" t="str">
            <v>HDP deflátor (v %)</v>
          </cell>
        </row>
        <row r="6">
          <cell r="A6" t="str">
            <v>HDP v bežných cenách</v>
          </cell>
        </row>
        <row r="7">
          <cell r="A7" t="str">
            <v>Výdavkový agregát</v>
          </cell>
        </row>
        <row r="8">
          <cell r="A8" t="str">
            <v>1. Celkové výdavky</v>
          </cell>
        </row>
        <row r="9">
          <cell r="A9" t="str">
            <v>2.   Úrokové náklady</v>
          </cell>
        </row>
        <row r="10">
          <cell r="A10" t="str">
            <v>3.   Výdavky kryté EÚ zdrojmi (celkové)</v>
          </cell>
        </row>
        <row r="11">
          <cell r="A11" t="str">
            <v>z toho: Výdavky kryté EÚ zdrojmi (kapitálové)</v>
          </cell>
        </row>
        <row r="12">
          <cell r="A12" t="str">
            <v>4.   Kapitálové výdavky kryté národnými zdrojmi</v>
          </cell>
        </row>
        <row r="13">
          <cell r="A13" t="str">
            <v>5.   Vyhladené kapitálové výdavky (nár. zdroje 4-ročný pohyblivý priemer)</v>
          </cell>
        </row>
        <row r="14">
          <cell r="A14" t="str">
            <v>6.   Cyklické výdavky na dávky v nezamestnanosti</v>
          </cell>
        </row>
        <row r="15">
          <cell r="A15" t="str">
            <v xml:space="preserve">7.   Výdavky plne kryté automatickým zvýšením príjmov </v>
          </cell>
        </row>
        <row r="16">
          <cell r="A16" t="str">
            <v>8.  Vplyv zaradenia nových subjektov do sektora verejnej správy (DP)</v>
          </cell>
        </row>
        <row r="17">
          <cell r="A17" t="str">
            <v>9. Primárny výdavkový agregát (1-2-3+4-5-6-7-8)</v>
          </cell>
        </row>
        <row r="18">
          <cell r="A18" t="str">
            <v>10. Medziročná zmena primárneho výdavkového agregátu (9t-9t-1)</v>
          </cell>
        </row>
        <row r="19">
          <cell r="A19" t="str">
            <v>11. Zmena v príjmoch z titulu diskrečných príjmových opatrení</v>
          </cell>
        </row>
        <row r="20">
          <cell r="A20" t="str">
            <v>12. Nominálny rast agregátu výdavkov očisteného o príjmové opatrenia ((10t-11t)/9t-1)</v>
          </cell>
        </row>
        <row r="21">
          <cell r="A21" t="str">
            <v>13. Medziročná zmena deflátoru</v>
          </cell>
        </row>
        <row r="22">
          <cell r="A22" t="str">
            <v>14. Reálny rast agregátu výdavkov očist. o príjmové opatrenia (12-13)</v>
          </cell>
        </row>
        <row r="23">
          <cell r="A23" t="str">
            <v>15. Miera potencionálneho rastu HDP</v>
          </cell>
        </row>
        <row r="24">
          <cell r="A24" t="str">
            <v>16. Zníženie rastu výdavkov - zmena štrukturálneho salda/ ((1t-1- 2t-1)/HDPt-1)</v>
          </cell>
        </row>
        <row r="25">
          <cell r="A25" t="str">
            <v>17. Výdavkové pravidlo (15-16)</v>
          </cell>
        </row>
        <row r="27">
          <cell r="A27" t="str">
            <v xml:space="preserve">19. Splnenie výdavkového benchmarku </v>
          </cell>
        </row>
        <row r="30">
          <cell r="A30" t="str">
            <v xml:space="preserve">Kumulatívna odchýlka od výdavkového pravidla t až t-2 (v % HDP) </v>
          </cell>
        </row>
        <row r="32">
          <cell r="A32" t="str">
            <v xml:space="preserve"> Zohľadnenie dodatočných faktorov (v % HDP)</v>
          </cell>
        </row>
        <row r="36">
          <cell r="A36" t="str">
            <v>Odchýlka od výdavkového pravidla v % HDP - po zohľadnení dodatočných faktorov</v>
          </cell>
        </row>
        <row r="37">
          <cell r="A37" t="str">
            <v>Splnenie výdavkového benchmarku po zohľadnení dodatočných faktorov</v>
          </cell>
        </row>
        <row r="38">
          <cell r="A38" t="str">
            <v>Kumulatívna odchýlka od výdavkového pravidla t až t-2 (v % HDP)</v>
          </cell>
        </row>
        <row r="39">
          <cell r="A39" t="str">
            <v>p.m. požadovaná zmena ŠS na dosihanutie MTO 2017 (% HDP)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ison"/>
      <sheetName val="2014nov_disaggregation_cycles"/>
      <sheetName val="2014nov_contributions_chart"/>
      <sheetName val="2015feb_disaggregation_cycles"/>
      <sheetName val="2015jun_disaggregation_cycles"/>
      <sheetName val="2015jun_contributions_chart"/>
      <sheetName val="2015nov_disaggregtion_cycles"/>
      <sheetName val="2015nov_contributions_chart"/>
      <sheetName val="2016feb_disagregation_cycles"/>
      <sheetName val="2016apr_disaggregation_cycles"/>
      <sheetName val="2016jun_disaggregation_cycles"/>
      <sheetName val="2016jun_chart"/>
      <sheetName val="results_Eviews"/>
      <sheetName val="op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Kompenzácie v súkromnom sektore</v>
          </cell>
          <cell r="D2" t="str">
            <v>Spotreba domácností v s.c.</v>
          </cell>
          <cell r="F2" t="str">
            <v>Hrubý zmiešaný dôchodok</v>
          </cell>
          <cell r="H2" t="str">
            <v>Zamestnanosť v súkromnom sektore</v>
          </cell>
          <cell r="M2" t="str">
            <v>Produkčná medzera</v>
          </cell>
        </row>
        <row r="12">
          <cell r="A12" t="str">
            <v>2000</v>
          </cell>
          <cell r="B12">
            <v>-1.4918234864249591E-2</v>
          </cell>
          <cell r="D12">
            <v>2.8809169990040573E-4</v>
          </cell>
          <cell r="F12">
            <v>-3.7579677940435374E-2</v>
          </cell>
          <cell r="H12">
            <v>9.5680484039784002E-3</v>
          </cell>
          <cell r="M12">
            <v>-1.7044968557226502E-2</v>
          </cell>
        </row>
        <row r="13">
          <cell r="A13" t="str">
            <v>2001</v>
          </cell>
          <cell r="B13">
            <v>-2.1718453606549559E-2</v>
          </cell>
          <cell r="D13">
            <v>1.7628319367997136E-3</v>
          </cell>
          <cell r="F13">
            <v>-1.9973239420700395E-2</v>
          </cell>
          <cell r="H13">
            <v>-1.0483692920668201E-2</v>
          </cell>
          <cell r="M13">
            <v>-1.46801540533617E-2</v>
          </cell>
        </row>
        <row r="14">
          <cell r="A14" t="str">
            <v>2002</v>
          </cell>
          <cell r="B14">
            <v>-1.599216595004993E-2</v>
          </cell>
          <cell r="D14">
            <v>7.9607067970997036E-3</v>
          </cell>
          <cell r="F14">
            <v>-4.8083199536232968E-3</v>
          </cell>
          <cell r="H14">
            <v>-1.95771433114337E-2</v>
          </cell>
          <cell r="M14">
            <v>-9.3797555318269193E-3</v>
          </cell>
        </row>
        <row r="15">
          <cell r="A15" t="str">
            <v>2003</v>
          </cell>
          <cell r="B15">
            <v>-1.7055517145729837E-2</v>
          </cell>
          <cell r="D15">
            <v>-1.4126439941000157E-2</v>
          </cell>
          <cell r="F15">
            <v>-3.9393750781222536E-3</v>
          </cell>
          <cell r="H15">
            <v>-1.31638669499434E-2</v>
          </cell>
          <cell r="M15">
            <v>-6.6399180718630501E-3</v>
          </cell>
        </row>
        <row r="16">
          <cell r="A16" t="str">
            <v>2004</v>
          </cell>
          <cell r="B16">
            <v>-8.3413105080403227E-3</v>
          </cell>
          <cell r="D16">
            <v>-1.9715278214599508E-2</v>
          </cell>
          <cell r="F16">
            <v>-2.9660861110372139E-3</v>
          </cell>
          <cell r="H16">
            <v>-2.88918776266156E-2</v>
          </cell>
          <cell r="M16">
            <v>-1.1157642639722101E-2</v>
          </cell>
        </row>
        <row r="17">
          <cell r="A17" t="str">
            <v>2005</v>
          </cell>
          <cell r="B17">
            <v>5.695028443139627E-3</v>
          </cell>
          <cell r="D17">
            <v>-1.4470019337899487E-2</v>
          </cell>
          <cell r="F17">
            <v>-3.7014387429598727E-2</v>
          </cell>
          <cell r="H17">
            <v>1.17682849972737E-2</v>
          </cell>
          <cell r="M17">
            <v>-1.7795407385142001E-2</v>
          </cell>
        </row>
        <row r="18">
          <cell r="A18" t="str">
            <v>2006</v>
          </cell>
          <cell r="B18">
            <v>2.6780389437700336E-2</v>
          </cell>
          <cell r="D18">
            <v>-7.339490454199904E-3</v>
          </cell>
          <cell r="F18">
            <v>-2.4823128058416799E-2</v>
          </cell>
          <cell r="H18">
            <v>1.42861699379448E-2</v>
          </cell>
          <cell r="M18">
            <v>-1.0306257710426502E-2</v>
          </cell>
        </row>
        <row r="19">
          <cell r="A19" t="str">
            <v>2007</v>
          </cell>
          <cell r="B19">
            <v>6.8272642169359798E-2</v>
          </cell>
          <cell r="D19">
            <v>2.1573407818500812E-2</v>
          </cell>
          <cell r="F19">
            <v>1.0842317841218474E-2</v>
          </cell>
          <cell r="H19">
            <v>2.55950402025781E-2</v>
          </cell>
          <cell r="M19">
            <v>1.48068627275036E-2</v>
          </cell>
        </row>
        <row r="20">
          <cell r="A20" t="str">
            <v>2008</v>
          </cell>
          <cell r="B20">
            <v>3.6145901335290276E-2</v>
          </cell>
          <cell r="D20">
            <v>4.4804857744599857E-2</v>
          </cell>
          <cell r="F20">
            <v>1.7143336245588614E-2</v>
          </cell>
          <cell r="H20">
            <v>5.2904229943084802E-2</v>
          </cell>
          <cell r="M20">
            <v>2.6675892115425801E-2</v>
          </cell>
        </row>
        <row r="21">
          <cell r="A21" t="str">
            <v>2009</v>
          </cell>
          <cell r="B21">
            <v>-1.1523331621580368E-2</v>
          </cell>
          <cell r="D21">
            <v>1.634895265259928E-2</v>
          </cell>
          <cell r="F21">
            <v>-8.0961609323193073E-2</v>
          </cell>
          <cell r="H21">
            <v>1.96944949315511E-2</v>
          </cell>
          <cell r="M21">
            <v>-4.0914285573130302E-2</v>
          </cell>
        </row>
        <row r="22">
          <cell r="A22" t="str">
            <v>2010</v>
          </cell>
          <cell r="B22">
            <v>6.9445297581998133E-3</v>
          </cell>
          <cell r="D22">
            <v>8.010023198901095E-3</v>
          </cell>
          <cell r="F22">
            <v>-9.5995251796523462E-3</v>
          </cell>
          <cell r="H22">
            <v>-1.0331670286515901E-2</v>
          </cell>
          <cell r="M22">
            <v>-8.9198060088492397E-3</v>
          </cell>
        </row>
        <row r="23">
          <cell r="A23" t="str">
            <v>2011</v>
          </cell>
          <cell r="B23">
            <v>6.4988080827195205E-3</v>
          </cell>
          <cell r="D23">
            <v>-3.6918934117995406E-3</v>
          </cell>
          <cell r="F23">
            <v>-1.5998274138416591E-2</v>
          </cell>
          <cell r="H23">
            <v>-2.8803197920490502E-3</v>
          </cell>
          <cell r="M23">
            <v>-1.0286734354662199E-2</v>
          </cell>
        </row>
        <row r="24">
          <cell r="A24" t="str">
            <v>2012</v>
          </cell>
          <cell r="B24">
            <v>3.4130540110703933E-3</v>
          </cell>
          <cell r="D24">
            <v>-1.1710806844499544E-2</v>
          </cell>
          <cell r="F24">
            <v>-1.4972541376167214E-2</v>
          </cell>
          <cell r="H24">
            <v>-6.7137276839481699E-3</v>
          </cell>
          <cell r="M24">
            <v>-1.09275429240353E-2</v>
          </cell>
        </row>
        <row r="25">
          <cell r="A25" t="str">
            <v>2013</v>
          </cell>
          <cell r="B25">
            <v>-9.8837786616901013E-3</v>
          </cell>
          <cell r="D25">
            <v>-2.5656604898099289E-2</v>
          </cell>
          <cell r="F25">
            <v>-1.9332294598937594E-2</v>
          </cell>
          <cell r="H25">
            <v>-2.5150032784879699E-2</v>
          </cell>
          <cell r="M25">
            <v>-1.9307726393800198E-2</v>
          </cell>
        </row>
        <row r="26">
          <cell r="A26" t="str">
            <v>2014</v>
          </cell>
          <cell r="B26">
            <v>-1.6974559927040112E-2</v>
          </cell>
          <cell r="D26">
            <v>-1.3329776155700301E-2</v>
          </cell>
          <cell r="F26">
            <v>-1.1028190865141951E-2</v>
          </cell>
          <cell r="H26">
            <v>-2.1917554175781801E-2</v>
          </cell>
          <cell r="M26">
            <v>-1.35047473520131E-2</v>
          </cell>
        </row>
        <row r="27">
          <cell r="A27" t="str">
            <v>2015</v>
          </cell>
          <cell r="B27">
            <v>-1.2842035882009901E-2</v>
          </cell>
          <cell r="D27">
            <v>-6.4422831622987786E-3</v>
          </cell>
          <cell r="F27">
            <v>-7.5773592013739233E-3</v>
          </cell>
          <cell r="H27">
            <v>-1.0735210993708199E-2</v>
          </cell>
          <cell r="M27">
            <v>-7.8665962538484596E-3</v>
          </cell>
        </row>
        <row r="28">
          <cell r="A28" t="str">
            <v>2016</v>
          </cell>
          <cell r="B28">
            <v>-2.5745856298099667E-2</v>
          </cell>
          <cell r="D28">
            <v>2.7456473046996166E-3</v>
          </cell>
          <cell r="F28">
            <v>-6.5789794739572471E-3</v>
          </cell>
          <cell r="H28">
            <v>8.0354088765321996E-4</v>
          </cell>
          <cell r="M28">
            <v>-3.4554704520820801E-3</v>
          </cell>
        </row>
        <row r="29">
          <cell r="A29" t="str">
            <v>2017</v>
          </cell>
          <cell r="B29">
            <v>-1.1663139887669871E-2</v>
          </cell>
          <cell r="D29">
            <v>2.7366470903995577E-3</v>
          </cell>
          <cell r="F29">
            <v>3.3708728884853656E-3</v>
          </cell>
          <cell r="H29">
            <v>2.64816643972665E-3</v>
          </cell>
          <cell r="M29">
            <v>2.7985881608725499E-3</v>
          </cell>
        </row>
        <row r="30">
          <cell r="A30" t="str">
            <v>2018</v>
          </cell>
          <cell r="B30">
            <v>4.5946830423027052E-4</v>
          </cell>
          <cell r="D30">
            <v>4.0532637937005234E-3</v>
          </cell>
          <cell r="F30">
            <v>7.2833982775701855E-3</v>
          </cell>
          <cell r="H30">
            <v>5.9624051991553602E-3</v>
          </cell>
          <cell r="M30">
            <v>6.1482220486228896E-3</v>
          </cell>
        </row>
        <row r="31">
          <cell r="A31" t="str">
            <v>2019</v>
          </cell>
          <cell r="B31">
            <v>1.9448562812570458E-2</v>
          </cell>
          <cell r="D31">
            <v>6.198162382700545E-3</v>
          </cell>
          <cell r="F31">
            <v>1.845648613928752E-2</v>
          </cell>
          <cell r="H31">
            <v>6.61471557977222E-3</v>
          </cell>
          <cell r="M31">
            <v>1.2826668652167601E-2</v>
          </cell>
        </row>
      </sheetData>
      <sheetData sheetId="11">
        <row r="1">
          <cell r="B1" t="str">
            <v>Priame dane domácností</v>
          </cell>
          <cell r="C1" t="str">
            <v>Odvody</v>
          </cell>
          <cell r="D1" t="str">
            <v>DPPO</v>
          </cell>
          <cell r="E1" t="str">
            <v>Nedaňové príjmy</v>
          </cell>
          <cell r="F1" t="str">
            <v>Nepriame dane</v>
          </cell>
          <cell r="G1" t="str">
            <v>Dôchodky</v>
          </cell>
          <cell r="H1" t="str">
            <v>Dávky v nezamestnanosti</v>
          </cell>
          <cell r="I1" t="str">
            <v>Spolu</v>
          </cell>
        </row>
        <row r="7">
          <cell r="B7">
            <v>-2.2420066335925026E-3</v>
          </cell>
        </row>
        <row r="8">
          <cell r="A8">
            <v>2013</v>
          </cell>
          <cell r="B8">
            <v>-3.4130330962073567E-2</v>
          </cell>
          <cell r="C8">
            <v>-0.1508734029974079</v>
          </cell>
          <cell r="D8">
            <v>-5.5451374917236916E-2</v>
          </cell>
          <cell r="E8">
            <v>-9.9454018115690379E-2</v>
          </cell>
          <cell r="F8">
            <v>-0.22018153997264336</v>
          </cell>
          <cell r="G8">
            <v>-1.4711982959337741E-2</v>
          </cell>
          <cell r="H8">
            <v>-2.3851726866316841E-2</v>
          </cell>
          <cell r="I8">
            <v>-0.59865437679070654</v>
          </cell>
        </row>
        <row r="9">
          <cell r="A9">
            <v>2014</v>
          </cell>
          <cell r="B9">
            <v>-4.0318354470303457E-2</v>
          </cell>
          <cell r="C9">
            <v>-0.17191933348883748</v>
          </cell>
          <cell r="D9">
            <v>-3.5001567220228819E-2</v>
          </cell>
          <cell r="E9">
            <v>-5.4224656007826569E-2</v>
          </cell>
          <cell r="F9">
            <v>-0.117543203919105</v>
          </cell>
          <cell r="G9">
            <v>4.4082556673422993E-2</v>
          </cell>
          <cell r="H9">
            <v>-1.9501741175381331E-2</v>
          </cell>
          <cell r="I9">
            <v>-0.39442629960825965</v>
          </cell>
        </row>
        <row r="10">
          <cell r="A10">
            <v>2015</v>
          </cell>
          <cell r="C10">
            <v>-0.10883406589875903</v>
          </cell>
          <cell r="D10">
            <v>-2.6051615578147242E-2</v>
          </cell>
          <cell r="E10">
            <v>-3.8788706373632929E-2</v>
          </cell>
          <cell r="F10">
            <v>-5.7034248954583047E-2</v>
          </cell>
          <cell r="G10">
            <v>7.5308896209596604E-2</v>
          </cell>
          <cell r="H10">
            <v>-1.0633274577486274E-2</v>
          </cell>
          <cell r="I10">
            <v>-0.19214948448539415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ív Office">
  <a:themeElements>
    <a:clrScheme name="IFP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C9ADC"/>
      </a:accent1>
      <a:accent2>
        <a:srgbClr val="AAD3F2"/>
      </a:accent2>
      <a:accent3>
        <a:srgbClr val="B0D6AF"/>
      </a:accent3>
      <a:accent4>
        <a:srgbClr val="D3BEDE"/>
      </a:accent4>
      <a:accent5>
        <a:srgbClr val="D9D3AB"/>
      </a:accent5>
      <a:accent6>
        <a:srgbClr val="F9C9BA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IFP farby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B0D6AF"/>
    </a:accent1>
    <a:accent2>
      <a:srgbClr val="D3BEDE"/>
    </a:accent2>
    <a:accent3>
      <a:srgbClr val="D9D3AB"/>
    </a:accent3>
    <a:accent4>
      <a:srgbClr val="AAD3F2"/>
    </a:accent4>
    <a:accent5>
      <a:srgbClr val="F9C9BA"/>
    </a:accent5>
    <a:accent6>
      <a:srgbClr val="2C9ADC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finance.gov.sk/Default.aspx?CatID=117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5"/>
  <sheetViews>
    <sheetView showGridLines="0" tabSelected="1" workbookViewId="0">
      <selection activeCell="C7" sqref="C7"/>
    </sheetView>
  </sheetViews>
  <sheetFormatPr defaultRowHeight="16.5" x14ac:dyDescent="0.3"/>
  <cols>
    <col min="1" max="1" width="5.85546875" style="42" customWidth="1"/>
    <col min="2" max="16384" width="9.140625" style="42"/>
  </cols>
  <sheetData>
    <row r="2" spans="2:9" ht="19.5" x14ac:dyDescent="0.3">
      <c r="B2" s="239" t="s">
        <v>119</v>
      </c>
      <c r="C2" s="250"/>
      <c r="D2" s="250"/>
      <c r="E2" s="250"/>
      <c r="F2" s="250"/>
      <c r="G2" s="250"/>
      <c r="H2" s="250"/>
      <c r="I2" s="250"/>
    </row>
    <row r="3" spans="2:9" ht="17.25" thickBot="1" x14ac:dyDescent="0.35"/>
    <row r="4" spans="2:9" ht="17.25" thickBot="1" x14ac:dyDescent="0.35">
      <c r="B4" s="240">
        <v>1</v>
      </c>
      <c r="C4" s="241" t="s">
        <v>120</v>
      </c>
      <c r="D4" s="135"/>
      <c r="E4" s="135"/>
      <c r="F4" s="135"/>
      <c r="G4" s="135"/>
    </row>
    <row r="5" spans="2:9" ht="17.25" thickBot="1" x14ac:dyDescent="0.35">
      <c r="B5" s="240">
        <v>2</v>
      </c>
      <c r="C5" s="241" t="s">
        <v>123</v>
      </c>
      <c r="D5" s="135"/>
      <c r="E5" s="135"/>
      <c r="F5" s="135"/>
      <c r="G5" s="135"/>
    </row>
    <row r="6" spans="2:9" ht="17.25" thickBot="1" x14ac:dyDescent="0.35">
      <c r="B6" s="240">
        <v>3</v>
      </c>
      <c r="C6" s="241" t="s">
        <v>124</v>
      </c>
      <c r="D6" s="135"/>
      <c r="E6" s="135"/>
      <c r="F6" s="135"/>
      <c r="G6" s="135"/>
    </row>
    <row r="7" spans="2:9" ht="17.25" thickBot="1" x14ac:dyDescent="0.35">
      <c r="B7" s="240">
        <v>4</v>
      </c>
      <c r="C7" s="241" t="s">
        <v>175</v>
      </c>
      <c r="D7" s="135"/>
      <c r="E7" s="135"/>
      <c r="F7" s="135"/>
      <c r="G7" s="135"/>
    </row>
    <row r="8" spans="2:9" ht="17.25" thickBot="1" x14ac:dyDescent="0.35">
      <c r="B8" s="240">
        <v>5</v>
      </c>
      <c r="C8" s="241" t="s">
        <v>121</v>
      </c>
      <c r="D8" s="135"/>
      <c r="E8" s="135"/>
      <c r="F8" s="135"/>
      <c r="G8" s="135"/>
    </row>
    <row r="9" spans="2:9" ht="17.25" thickBot="1" x14ac:dyDescent="0.35">
      <c r="B9" s="240">
        <v>6</v>
      </c>
      <c r="C9" s="241" t="s">
        <v>122</v>
      </c>
      <c r="D9" s="135"/>
      <c r="E9" s="135"/>
      <c r="F9" s="135"/>
      <c r="G9" s="135"/>
    </row>
    <row r="10" spans="2:9" ht="17.25" thickBot="1" x14ac:dyDescent="0.35">
      <c r="B10" s="240">
        <v>7</v>
      </c>
      <c r="C10" s="241" t="s">
        <v>125</v>
      </c>
      <c r="D10" s="135"/>
      <c r="E10" s="135"/>
      <c r="F10" s="135"/>
      <c r="G10" s="135"/>
    </row>
    <row r="11" spans="2:9" ht="17.25" thickBot="1" x14ac:dyDescent="0.35">
      <c r="B11" s="240">
        <v>8</v>
      </c>
      <c r="C11" s="241" t="s">
        <v>126</v>
      </c>
      <c r="D11" s="135"/>
      <c r="E11" s="135"/>
      <c r="F11" s="135"/>
      <c r="G11" s="135"/>
    </row>
    <row r="12" spans="2:9" ht="17.25" thickBot="1" x14ac:dyDescent="0.35">
      <c r="B12" s="240">
        <v>9</v>
      </c>
      <c r="C12" s="241" t="s">
        <v>127</v>
      </c>
      <c r="D12" s="135"/>
      <c r="E12" s="135"/>
      <c r="F12" s="135"/>
      <c r="G12" s="135"/>
    </row>
    <row r="13" spans="2:9" ht="17.25" thickBot="1" x14ac:dyDescent="0.35">
      <c r="B13" s="240">
        <v>10</v>
      </c>
      <c r="C13" s="241" t="s">
        <v>140</v>
      </c>
      <c r="D13" s="135"/>
      <c r="E13" s="135"/>
      <c r="F13" s="135"/>
      <c r="G13" s="135"/>
    </row>
    <row r="14" spans="2:9" x14ac:dyDescent="0.3">
      <c r="C14" s="135"/>
      <c r="D14" s="135"/>
      <c r="E14" s="135"/>
      <c r="F14" s="135"/>
      <c r="G14" s="135"/>
    </row>
    <row r="15" spans="2:9" x14ac:dyDescent="0.3">
      <c r="C15" s="135"/>
      <c r="D15" s="135"/>
      <c r="E15" s="135"/>
      <c r="F15" s="135"/>
      <c r="G15" s="135"/>
    </row>
  </sheetData>
  <hyperlinks>
    <hyperlink ref="C10" location="NPC!A1" display="Graf 11 a 12 - Sektory + Mzda"/>
    <hyperlink ref="C11" location="'One-offs'!A1" display="Graf 13 a 14 - NAIRU"/>
    <hyperlink ref="C4" location="'Celkove hodnotenie'!A1" display="Graf 3 a 4 - Ropa + Akcie"/>
    <hyperlink ref="C12" location="DRM!A1" display="Graf 15 a 16 - Externé nerovnováhy + Inflácia"/>
    <hyperlink ref="C8" location="VP!A1" display="Tabuľka 1 - Predpoklady pre prognozu"/>
    <hyperlink ref="C9" location="VP_faktory!A1" display="Graf 5 a 6 - Štátne dlhopisy a Inflácia"/>
    <hyperlink ref="C5" location="ŠS!A1" display="Graf 7 a 8 - HDP + Príspevky"/>
    <hyperlink ref="C6" location="ŠS_faktory!A1" display="Štrukturálne saldo - dodatočné faktory"/>
    <hyperlink ref="C13" location="'FK vs EK'!A1" display="Diskrečné príjmové opatrenia"/>
    <hyperlink ref="C7" location="'Cyklická zložka'!A1" display="Cyklická zložka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workbookViewId="0"/>
  </sheetViews>
  <sheetFormatPr defaultRowHeight="16.5" x14ac:dyDescent="0.3"/>
  <cols>
    <col min="1" max="1" width="48.28515625" style="42" bestFit="1" customWidth="1"/>
    <col min="2" max="5" width="9.7109375" style="42" customWidth="1"/>
    <col min="6" max="16384" width="9.140625" style="42"/>
  </cols>
  <sheetData>
    <row r="1" spans="1:6" ht="17.25" thickBot="1" x14ac:dyDescent="0.35">
      <c r="A1" s="163" t="s">
        <v>163</v>
      </c>
      <c r="B1" s="163"/>
      <c r="C1" s="163"/>
      <c r="D1" s="163"/>
      <c r="E1" s="163"/>
    </row>
    <row r="2" spans="1:6" ht="17.25" thickBot="1" x14ac:dyDescent="0.35">
      <c r="A2" s="161"/>
      <c r="B2" s="164">
        <v>2012</v>
      </c>
      <c r="C2" s="164">
        <v>2013</v>
      </c>
      <c r="D2" s="164">
        <v>2014</v>
      </c>
      <c r="E2" s="164">
        <v>2015</v>
      </c>
    </row>
    <row r="3" spans="1:6" x14ac:dyDescent="0.3">
      <c r="A3" s="99" t="s">
        <v>70</v>
      </c>
      <c r="B3" s="129"/>
      <c r="C3" s="129"/>
      <c r="D3" s="129">
        <v>163.887</v>
      </c>
      <c r="E3" s="133"/>
    </row>
    <row r="4" spans="1:6" x14ac:dyDescent="0.3">
      <c r="A4" s="99" t="s">
        <v>71</v>
      </c>
      <c r="B4" s="129">
        <v>-5.7880000000000003</v>
      </c>
      <c r="C4" s="129">
        <v>-5.8</v>
      </c>
      <c r="D4" s="129">
        <v>-5.8</v>
      </c>
      <c r="E4" s="101">
        <v>-6</v>
      </c>
    </row>
    <row r="5" spans="1:6" x14ac:dyDescent="0.3">
      <c r="A5" s="99" t="s">
        <v>72</v>
      </c>
      <c r="B5" s="84"/>
      <c r="C5" s="84"/>
      <c r="D5" s="129">
        <v>44.656999999999996</v>
      </c>
      <c r="E5" s="133"/>
    </row>
    <row r="6" spans="1:6" ht="27" x14ac:dyDescent="0.3">
      <c r="A6" s="99" t="s">
        <v>73</v>
      </c>
      <c r="B6" s="129">
        <v>9.75</v>
      </c>
      <c r="C6" s="129">
        <v>19.5</v>
      </c>
      <c r="D6" s="129">
        <v>19.5</v>
      </c>
      <c r="E6" s="133"/>
    </row>
    <row r="7" spans="1:6" x14ac:dyDescent="0.3">
      <c r="A7" s="85" t="s">
        <v>74</v>
      </c>
      <c r="B7" s="130">
        <v>-64.311510989999775</v>
      </c>
      <c r="C7" s="130">
        <v>104.4534180399971</v>
      </c>
      <c r="D7" s="130">
        <v>-34.666380880851747</v>
      </c>
      <c r="E7" s="84">
        <v>6</v>
      </c>
    </row>
    <row r="8" spans="1:6" ht="27" x14ac:dyDescent="0.3">
      <c r="A8" s="99" t="s">
        <v>75</v>
      </c>
      <c r="B8" s="130">
        <v>27.0076</v>
      </c>
      <c r="C8" s="130">
        <v>30.34</v>
      </c>
      <c r="D8" s="130">
        <v>48.088000000000001</v>
      </c>
      <c r="E8" s="133"/>
    </row>
    <row r="9" spans="1:6" x14ac:dyDescent="0.3">
      <c r="A9" s="99" t="s">
        <v>76</v>
      </c>
      <c r="B9" s="130">
        <v>99.030976136087531</v>
      </c>
      <c r="C9" s="130">
        <v>17.208590449164177</v>
      </c>
      <c r="D9" s="130">
        <v>-139.86150713761322</v>
      </c>
      <c r="E9" s="84">
        <v>-180</v>
      </c>
    </row>
    <row r="10" spans="1:6" x14ac:dyDescent="0.3">
      <c r="A10" s="99" t="s">
        <v>77</v>
      </c>
      <c r="B10" s="130"/>
      <c r="C10" s="130"/>
      <c r="D10" s="129">
        <v>57.756999999999998</v>
      </c>
      <c r="E10" s="133"/>
    </row>
    <row r="11" spans="1:6" ht="17.25" thickBot="1" x14ac:dyDescent="0.35">
      <c r="A11" s="100" t="s">
        <v>78</v>
      </c>
      <c r="B11" s="132">
        <v>40.164659999999998</v>
      </c>
      <c r="C11" s="132">
        <v>-8.08</v>
      </c>
      <c r="D11" s="132">
        <v>-58.452266829999999</v>
      </c>
      <c r="E11" s="134"/>
    </row>
    <row r="12" spans="1:6" ht="17.25" thickBot="1" x14ac:dyDescent="0.35">
      <c r="A12" s="100" t="s">
        <v>147</v>
      </c>
      <c r="B12" s="132"/>
      <c r="C12" s="132"/>
      <c r="D12" s="132"/>
      <c r="E12" s="134"/>
    </row>
    <row r="13" spans="1:6" ht="17.25" thickBot="1" x14ac:dyDescent="0.35">
      <c r="A13" s="104" t="s">
        <v>79</v>
      </c>
      <c r="B13" s="131">
        <f>SUM(B3:B11)</f>
        <v>105.85372514608775</v>
      </c>
      <c r="C13" s="131">
        <f>SUM(C3:C11)</f>
        <v>157.62200848916126</v>
      </c>
      <c r="D13" s="131">
        <f>SUM(D3:D11)</f>
        <v>95.108845151534993</v>
      </c>
      <c r="E13" s="105">
        <f>SUM(E3:E11)</f>
        <v>-180</v>
      </c>
    </row>
    <row r="14" spans="1:6" ht="17.25" thickBot="1" x14ac:dyDescent="0.35">
      <c r="A14" s="270" t="s">
        <v>80</v>
      </c>
      <c r="B14" s="271">
        <f>B13/ŠS!B33*100</f>
        <v>0.14616641916748851</v>
      </c>
      <c r="C14" s="271">
        <f>C13/ŠS!C33*100</f>
        <v>0.21347845957624001</v>
      </c>
      <c r="D14" s="271">
        <f>D13/ŠS!D33*100</f>
        <v>0.12587118835389655</v>
      </c>
      <c r="E14" s="271">
        <f>E13/ŠS!E33*100</f>
        <v>-0.23055991488137828</v>
      </c>
      <c r="F14" s="242"/>
    </row>
    <row r="15" spans="1:6" x14ac:dyDescent="0.3">
      <c r="D15" s="283" t="s">
        <v>61</v>
      </c>
      <c r="E15" s="283"/>
    </row>
    <row r="17" spans="2:5" x14ac:dyDescent="0.3">
      <c r="B17" s="246"/>
      <c r="C17" s="246"/>
      <c r="D17" s="246"/>
      <c r="E17" s="246"/>
    </row>
  </sheetData>
  <mergeCells count="1">
    <mergeCell ref="D15:E1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showGridLines="0" workbookViewId="0"/>
  </sheetViews>
  <sheetFormatPr defaultRowHeight="16.5" x14ac:dyDescent="0.3"/>
  <cols>
    <col min="1" max="1" width="55" style="42" customWidth="1"/>
    <col min="2" max="2" width="5" style="41" customWidth="1"/>
    <col min="3" max="5" width="5" style="41" bestFit="1" customWidth="1"/>
    <col min="6" max="6" width="5" style="41" customWidth="1"/>
    <col min="7" max="9" width="5" style="41" bestFit="1" customWidth="1"/>
    <col min="10" max="16384" width="9.140625" style="42"/>
  </cols>
  <sheetData>
    <row r="1" spans="1:9" ht="17.25" thickBot="1" x14ac:dyDescent="0.35">
      <c r="A1" s="163" t="s">
        <v>141</v>
      </c>
      <c r="B1" s="299" t="s">
        <v>81</v>
      </c>
      <c r="C1" s="299"/>
      <c r="D1" s="299"/>
      <c r="E1" s="299"/>
      <c r="F1" s="300" t="s">
        <v>82</v>
      </c>
      <c r="G1" s="300"/>
      <c r="H1" s="300"/>
      <c r="I1" s="300"/>
    </row>
    <row r="2" spans="1:9" x14ac:dyDescent="0.3">
      <c r="A2" s="157" t="s">
        <v>83</v>
      </c>
      <c r="B2" s="159">
        <v>2012</v>
      </c>
      <c r="C2" s="158">
        <v>2013</v>
      </c>
      <c r="D2" s="158">
        <v>2014</v>
      </c>
      <c r="E2" s="160">
        <v>2015</v>
      </c>
      <c r="F2" s="158">
        <v>2012</v>
      </c>
      <c r="G2" s="158">
        <v>2013</v>
      </c>
      <c r="H2" s="158">
        <v>2014</v>
      </c>
      <c r="I2" s="158">
        <v>2015</v>
      </c>
    </row>
    <row r="3" spans="1:9" x14ac:dyDescent="0.3">
      <c r="A3" s="106" t="s">
        <v>100</v>
      </c>
      <c r="B3" s="258"/>
      <c r="C3" s="107">
        <v>159.828</v>
      </c>
      <c r="D3" s="107"/>
      <c r="E3" s="108"/>
      <c r="F3" s="107"/>
      <c r="G3" s="107">
        <v>159.828</v>
      </c>
      <c r="H3" s="109"/>
      <c r="I3" s="109"/>
    </row>
    <row r="4" spans="1:9" x14ac:dyDescent="0.3">
      <c r="A4" s="106" t="s">
        <v>101</v>
      </c>
      <c r="B4" s="258"/>
      <c r="C4" s="107">
        <v>26.923999999999999</v>
      </c>
      <c r="D4" s="107"/>
      <c r="E4" s="108"/>
      <c r="F4" s="107"/>
      <c r="G4" s="107">
        <v>26.923999999999999</v>
      </c>
      <c r="H4" s="109"/>
      <c r="I4" s="109"/>
    </row>
    <row r="5" spans="1:9" x14ac:dyDescent="0.3">
      <c r="A5" s="106" t="s">
        <v>102</v>
      </c>
      <c r="B5" s="258"/>
      <c r="C5" s="107">
        <v>130.07300000000001</v>
      </c>
      <c r="D5" s="107"/>
      <c r="E5" s="108"/>
      <c r="F5" s="107"/>
      <c r="G5" s="107">
        <v>130.07300000000001</v>
      </c>
      <c r="H5" s="109"/>
      <c r="I5" s="109"/>
    </row>
    <row r="6" spans="1:9" x14ac:dyDescent="0.3">
      <c r="A6" s="106" t="s">
        <v>103</v>
      </c>
      <c r="B6" s="259">
        <v>148.5</v>
      </c>
      <c r="C6" s="107">
        <v>506.69405370225599</v>
      </c>
      <c r="D6" s="107"/>
      <c r="E6" s="108"/>
      <c r="F6" s="107">
        <f>B6</f>
        <v>148.5</v>
      </c>
      <c r="G6" s="107">
        <f>C6-B6</f>
        <v>358.19405370225599</v>
      </c>
      <c r="H6" s="109"/>
      <c r="I6" s="109"/>
    </row>
    <row r="7" spans="1:9" x14ac:dyDescent="0.3">
      <c r="A7" s="106" t="s">
        <v>104</v>
      </c>
      <c r="B7" s="128">
        <f>91690*0.81/1000</f>
        <v>74.268900000000002</v>
      </c>
      <c r="C7" s="107"/>
      <c r="D7" s="107"/>
      <c r="E7" s="108"/>
      <c r="F7" s="107">
        <f>B7</f>
        <v>74.268900000000002</v>
      </c>
      <c r="G7" s="107"/>
      <c r="H7" s="109"/>
      <c r="I7" s="109"/>
    </row>
    <row r="8" spans="1:9" x14ac:dyDescent="0.3">
      <c r="A8" s="106" t="s">
        <v>105</v>
      </c>
      <c r="B8" s="128">
        <v>62.4</v>
      </c>
      <c r="C8" s="110">
        <v>91.77</v>
      </c>
      <c r="D8" s="107"/>
      <c r="E8" s="108"/>
      <c r="F8" s="107">
        <f>B8</f>
        <v>62.4</v>
      </c>
      <c r="G8" s="107">
        <f>C8-B8</f>
        <v>29.369999999999997</v>
      </c>
      <c r="H8" s="109"/>
      <c r="I8" s="109"/>
    </row>
    <row r="9" spans="1:9" x14ac:dyDescent="0.3">
      <c r="A9" s="111" t="s">
        <v>106</v>
      </c>
      <c r="B9" s="128">
        <f>B8-B10</f>
        <v>39.221039999999995</v>
      </c>
      <c r="C9" s="110">
        <v>0</v>
      </c>
      <c r="D9" s="107"/>
      <c r="E9" s="108"/>
      <c r="F9" s="107">
        <f>B9</f>
        <v>39.221039999999995</v>
      </c>
      <c r="G9" s="107">
        <f>C9-B9</f>
        <v>-39.221039999999995</v>
      </c>
      <c r="H9" s="109"/>
      <c r="I9" s="109"/>
    </row>
    <row r="10" spans="1:9" x14ac:dyDescent="0.3">
      <c r="A10" s="111" t="s">
        <v>107</v>
      </c>
      <c r="B10" s="259">
        <f>28616*0.81/1000</f>
        <v>23.178960000000004</v>
      </c>
      <c r="C10" s="110">
        <v>91.77</v>
      </c>
      <c r="D10" s="107"/>
      <c r="E10" s="108"/>
      <c r="F10" s="107">
        <f>B10</f>
        <v>23.178960000000004</v>
      </c>
      <c r="G10" s="107">
        <f>C10-B10</f>
        <v>68.591039999999992</v>
      </c>
      <c r="H10" s="109"/>
      <c r="I10" s="109"/>
    </row>
    <row r="11" spans="1:9" x14ac:dyDescent="0.3">
      <c r="A11" s="106" t="s">
        <v>84</v>
      </c>
      <c r="B11" s="258"/>
      <c r="C11" s="107"/>
      <c r="D11" s="107">
        <v>-41.746185000000004</v>
      </c>
      <c r="E11" s="108"/>
      <c r="F11" s="107"/>
      <c r="G11" s="107"/>
      <c r="H11" s="107">
        <f>D11-C11</f>
        <v>-41.746185000000004</v>
      </c>
      <c r="I11" s="107"/>
    </row>
    <row r="12" spans="1:9" x14ac:dyDescent="0.3">
      <c r="A12" s="106" t="s">
        <v>85</v>
      </c>
      <c r="B12" s="258"/>
      <c r="C12" s="107"/>
      <c r="D12" s="107"/>
      <c r="E12" s="108">
        <v>-41.746185000000004</v>
      </c>
      <c r="F12" s="107"/>
      <c r="G12" s="107"/>
      <c r="H12" s="136"/>
      <c r="I12" s="107">
        <f>E12-D12</f>
        <v>-41.746185000000004</v>
      </c>
    </row>
    <row r="13" spans="1:9" x14ac:dyDescent="0.3">
      <c r="A13" s="106" t="s">
        <v>108</v>
      </c>
      <c r="B13" s="259">
        <v>31.4</v>
      </c>
      <c r="C13" s="107">
        <v>63.922440820700011</v>
      </c>
      <c r="D13" s="107"/>
      <c r="E13" s="108"/>
      <c r="F13" s="107">
        <f>B13</f>
        <v>31.4</v>
      </c>
      <c r="G13" s="107">
        <f t="shared" ref="G13:G21" si="0">C13-B13</f>
        <v>32.522440820700012</v>
      </c>
      <c r="H13" s="109"/>
      <c r="I13" s="109"/>
    </row>
    <row r="14" spans="1:9" x14ac:dyDescent="0.3">
      <c r="A14" s="106" t="s">
        <v>109</v>
      </c>
      <c r="B14" s="259">
        <v>6.44</v>
      </c>
      <c r="C14" s="107">
        <v>27.396000000000001</v>
      </c>
      <c r="D14" s="107"/>
      <c r="E14" s="108"/>
      <c r="F14" s="107">
        <f>B14</f>
        <v>6.44</v>
      </c>
      <c r="G14" s="107">
        <f t="shared" si="0"/>
        <v>20.956</v>
      </c>
      <c r="H14" s="109"/>
      <c r="I14" s="109"/>
    </row>
    <row r="15" spans="1:9" x14ac:dyDescent="0.3">
      <c r="A15" s="106" t="s">
        <v>110</v>
      </c>
      <c r="B15" s="259">
        <v>0.48799999999999999</v>
      </c>
      <c r="C15" s="107">
        <v>-0.13245935605598055</v>
      </c>
      <c r="D15" s="107"/>
      <c r="E15" s="108"/>
      <c r="F15" s="107">
        <f>B15</f>
        <v>0.48799999999999999</v>
      </c>
      <c r="G15" s="107">
        <f t="shared" si="0"/>
        <v>-0.62045935605598057</v>
      </c>
      <c r="H15" s="109"/>
      <c r="I15" s="109"/>
    </row>
    <row r="16" spans="1:9" x14ac:dyDescent="0.3">
      <c r="A16" s="106" t="s">
        <v>111</v>
      </c>
      <c r="B16" s="258"/>
      <c r="C16" s="107">
        <v>-13.1</v>
      </c>
      <c r="D16" s="107"/>
      <c r="E16" s="108"/>
      <c r="F16" s="107"/>
      <c r="G16" s="107">
        <f t="shared" si="0"/>
        <v>-13.1</v>
      </c>
      <c r="H16" s="109"/>
      <c r="I16" s="109"/>
    </row>
    <row r="17" spans="1:9" x14ac:dyDescent="0.3">
      <c r="A17" s="106" t="s">
        <v>112</v>
      </c>
      <c r="B17" s="258"/>
      <c r="C17" s="107">
        <v>384.5</v>
      </c>
      <c r="D17" s="107"/>
      <c r="E17" s="108"/>
      <c r="F17" s="107"/>
      <c r="G17" s="107">
        <f t="shared" si="0"/>
        <v>384.5</v>
      </c>
      <c r="H17" s="109"/>
      <c r="I17" s="109"/>
    </row>
    <row r="18" spans="1:9" x14ac:dyDescent="0.3">
      <c r="A18" s="106" t="s">
        <v>113</v>
      </c>
      <c r="B18" s="258"/>
      <c r="C18" s="107">
        <v>-10.26</v>
      </c>
      <c r="D18" s="107"/>
      <c r="E18" s="108"/>
      <c r="F18" s="107"/>
      <c r="G18" s="107">
        <f t="shared" si="0"/>
        <v>-10.26</v>
      </c>
      <c r="H18" s="109"/>
      <c r="I18" s="109"/>
    </row>
    <row r="19" spans="1:9" x14ac:dyDescent="0.3">
      <c r="A19" s="106" t="s">
        <v>114</v>
      </c>
      <c r="B19" s="258"/>
      <c r="C19" s="107">
        <v>-72</v>
      </c>
      <c r="D19" s="112"/>
      <c r="E19" s="113"/>
      <c r="F19" s="112"/>
      <c r="G19" s="112">
        <f t="shared" si="0"/>
        <v>-72</v>
      </c>
      <c r="H19" s="114"/>
      <c r="I19" s="114"/>
    </row>
    <row r="20" spans="1:9" x14ac:dyDescent="0.3">
      <c r="A20" s="106" t="s">
        <v>115</v>
      </c>
      <c r="B20" s="258"/>
      <c r="C20" s="107">
        <v>71.322000000000003</v>
      </c>
      <c r="D20" s="112"/>
      <c r="E20" s="113"/>
      <c r="F20" s="112"/>
      <c r="G20" s="112">
        <f t="shared" si="0"/>
        <v>71.322000000000003</v>
      </c>
      <c r="H20" s="114"/>
      <c r="I20" s="114"/>
    </row>
    <row r="21" spans="1:9" x14ac:dyDescent="0.3">
      <c r="A21" s="106" t="s">
        <v>116</v>
      </c>
      <c r="B21" s="258"/>
      <c r="C21" s="107">
        <v>4</v>
      </c>
      <c r="D21" s="112"/>
      <c r="E21" s="113"/>
      <c r="F21" s="112"/>
      <c r="G21" s="112">
        <f t="shared" si="0"/>
        <v>4</v>
      </c>
      <c r="H21" s="114"/>
      <c r="I21" s="114"/>
    </row>
    <row r="22" spans="1:9" x14ac:dyDescent="0.3">
      <c r="A22" s="106" t="s">
        <v>86</v>
      </c>
      <c r="B22" s="258"/>
      <c r="C22" s="107"/>
      <c r="D22" s="112">
        <v>-3.86</v>
      </c>
      <c r="E22" s="113"/>
      <c r="F22" s="112"/>
      <c r="G22" s="112"/>
      <c r="H22" s="112">
        <f>D22-C22</f>
        <v>-3.86</v>
      </c>
      <c r="I22" s="114"/>
    </row>
    <row r="23" spans="1:9" x14ac:dyDescent="0.3">
      <c r="A23" s="106" t="s">
        <v>117</v>
      </c>
      <c r="B23" s="258"/>
      <c r="C23" s="112">
        <f>7.5+8.1</f>
        <v>15.6</v>
      </c>
      <c r="D23" s="112"/>
      <c r="E23" s="113"/>
      <c r="F23" s="112"/>
      <c r="G23" s="112">
        <v>15.6</v>
      </c>
      <c r="H23" s="112"/>
      <c r="I23" s="114"/>
    </row>
    <row r="24" spans="1:9" x14ac:dyDescent="0.3">
      <c r="A24" s="115" t="s">
        <v>87</v>
      </c>
      <c r="B24" s="260"/>
      <c r="C24" s="107"/>
      <c r="D24" s="112">
        <v>81.971000000000004</v>
      </c>
      <c r="E24" s="113"/>
      <c r="F24" s="112"/>
      <c r="G24" s="112"/>
      <c r="H24" s="112">
        <f>D24-C24</f>
        <v>81.971000000000004</v>
      </c>
      <c r="I24" s="114"/>
    </row>
    <row r="25" spans="1:9" x14ac:dyDescent="0.3">
      <c r="A25" s="115" t="s">
        <v>88</v>
      </c>
      <c r="B25" s="260"/>
      <c r="C25" s="107"/>
      <c r="D25" s="112">
        <v>-94.941000000000003</v>
      </c>
      <c r="E25" s="113"/>
      <c r="F25" s="112"/>
      <c r="G25" s="112"/>
      <c r="H25" s="112">
        <f>D25-C25</f>
        <v>-94.941000000000003</v>
      </c>
      <c r="I25" s="114"/>
    </row>
    <row r="26" spans="1:9" x14ac:dyDescent="0.3">
      <c r="A26" s="115" t="s">
        <v>89</v>
      </c>
      <c r="B26" s="260"/>
      <c r="C26" s="107"/>
      <c r="D26" s="112">
        <v>37.162999999999997</v>
      </c>
      <c r="E26" s="113"/>
      <c r="F26" s="112"/>
      <c r="G26" s="112"/>
      <c r="H26" s="112">
        <f>D26-C26</f>
        <v>37.162999999999997</v>
      </c>
      <c r="I26" s="114"/>
    </row>
    <row r="27" spans="1:9" x14ac:dyDescent="0.3">
      <c r="A27" s="115" t="s">
        <v>90</v>
      </c>
      <c r="B27" s="260"/>
      <c r="C27" s="107"/>
      <c r="D27" s="112">
        <v>-8.4838256487826094</v>
      </c>
      <c r="E27" s="113"/>
      <c r="F27" s="112"/>
      <c r="G27" s="112"/>
      <c r="H27" s="112">
        <f>D27-C27</f>
        <v>-8.4838256487826094</v>
      </c>
      <c r="I27" s="114"/>
    </row>
    <row r="28" spans="1:9" x14ac:dyDescent="0.3">
      <c r="A28" s="116" t="s">
        <v>91</v>
      </c>
      <c r="B28" s="260"/>
      <c r="C28" s="107"/>
      <c r="D28" s="112"/>
      <c r="E28" s="117">
        <v>-7.6</v>
      </c>
      <c r="F28" s="112"/>
      <c r="G28" s="112"/>
      <c r="H28" s="114"/>
      <c r="I28" s="118">
        <v>-7.6</v>
      </c>
    </row>
    <row r="29" spans="1:9" x14ac:dyDescent="0.3">
      <c r="A29" s="116" t="s">
        <v>92</v>
      </c>
      <c r="B29" s="260"/>
      <c r="C29" s="107"/>
      <c r="D29" s="112"/>
      <c r="E29" s="117">
        <v>123.38200000000001</v>
      </c>
      <c r="F29" s="112"/>
      <c r="G29" s="112"/>
      <c r="H29" s="114"/>
      <c r="I29" s="118">
        <f>E29</f>
        <v>123.38200000000001</v>
      </c>
    </row>
    <row r="30" spans="1:9" x14ac:dyDescent="0.3">
      <c r="A30" s="116" t="s">
        <v>118</v>
      </c>
      <c r="B30" s="260"/>
      <c r="C30" s="107"/>
      <c r="D30" s="112"/>
      <c r="E30" s="119">
        <f>54.2+2.24</f>
        <v>56.440000000000005</v>
      </c>
      <c r="F30" s="112"/>
      <c r="G30" s="112"/>
      <c r="H30" s="114"/>
      <c r="I30" s="120">
        <f>E30</f>
        <v>56.440000000000005</v>
      </c>
    </row>
    <row r="31" spans="1:9" x14ac:dyDescent="0.3">
      <c r="A31" s="116" t="s">
        <v>93</v>
      </c>
      <c r="B31" s="260"/>
      <c r="C31" s="107"/>
      <c r="D31" s="112"/>
      <c r="E31" s="117">
        <v>47.4</v>
      </c>
      <c r="F31" s="112"/>
      <c r="G31" s="112"/>
      <c r="H31" s="114"/>
      <c r="I31" s="118">
        <f>E31</f>
        <v>47.4</v>
      </c>
    </row>
    <row r="32" spans="1:9" x14ac:dyDescent="0.3">
      <c r="A32" s="116" t="s">
        <v>94</v>
      </c>
      <c r="B32" s="260"/>
      <c r="C32" s="107"/>
      <c r="D32" s="112"/>
      <c r="E32" s="117">
        <v>-24.3</v>
      </c>
      <c r="F32" s="112"/>
      <c r="G32" s="112"/>
      <c r="H32" s="114"/>
      <c r="I32" s="118">
        <f>E32</f>
        <v>-24.3</v>
      </c>
    </row>
    <row r="33" spans="1:9" x14ac:dyDescent="0.3">
      <c r="A33" s="116" t="s">
        <v>95</v>
      </c>
      <c r="B33" s="260"/>
      <c r="C33" s="107"/>
      <c r="D33" s="112"/>
      <c r="E33" s="117">
        <v>12.286999999999999</v>
      </c>
      <c r="F33" s="112"/>
      <c r="G33" s="112"/>
      <c r="H33" s="114"/>
      <c r="I33" s="118">
        <f>E33</f>
        <v>12.286999999999999</v>
      </c>
    </row>
    <row r="34" spans="1:9" x14ac:dyDescent="0.3">
      <c r="A34" s="116" t="s">
        <v>96</v>
      </c>
      <c r="B34" s="260"/>
      <c r="C34" s="107"/>
      <c r="D34" s="112"/>
      <c r="E34" s="121">
        <v>15.924997827432399</v>
      </c>
      <c r="F34" s="112"/>
      <c r="G34" s="112"/>
      <c r="H34" s="114"/>
      <c r="I34" s="118">
        <f t="shared" ref="I34:I36" si="1">E34</f>
        <v>15.924997827432399</v>
      </c>
    </row>
    <row r="35" spans="1:9" x14ac:dyDescent="0.3">
      <c r="A35" s="116" t="s">
        <v>97</v>
      </c>
      <c r="B35" s="260"/>
      <c r="C35" s="107"/>
      <c r="D35" s="112"/>
      <c r="E35" s="122">
        <v>-56</v>
      </c>
      <c r="F35" s="112"/>
      <c r="G35" s="112"/>
      <c r="H35" s="114"/>
      <c r="I35" s="118">
        <f t="shared" si="1"/>
        <v>-56</v>
      </c>
    </row>
    <row r="36" spans="1:9" x14ac:dyDescent="0.3">
      <c r="A36" s="123" t="s">
        <v>98</v>
      </c>
      <c r="B36" s="261"/>
      <c r="C36" s="262"/>
      <c r="D36" s="124"/>
      <c r="E36" s="125">
        <v>-28.998000000000001</v>
      </c>
      <c r="F36" s="124"/>
      <c r="G36" s="124"/>
      <c r="H36" s="126"/>
      <c r="I36" s="127">
        <f t="shared" si="1"/>
        <v>-28.998000000000001</v>
      </c>
    </row>
    <row r="37" spans="1:9" x14ac:dyDescent="0.3">
      <c r="A37" s="263" t="s">
        <v>99</v>
      </c>
      <c r="B37" s="264">
        <f>SUM(B3:B8,B11:B36)</f>
        <v>323.49689999999998</v>
      </c>
      <c r="C37" s="265">
        <f t="shared" ref="C37:F37" si="2">SUM(C3:C8,C11:C36)</f>
        <v>1386.5370351668998</v>
      </c>
      <c r="D37" s="265">
        <f t="shared" si="2"/>
        <v>-29.897010648782615</v>
      </c>
      <c r="E37" s="266">
        <f>SUM(E3:E8,E11:E36)</f>
        <v>96.789812827432414</v>
      </c>
      <c r="F37" s="265">
        <f t="shared" si="2"/>
        <v>323.49689999999998</v>
      </c>
      <c r="G37" s="265">
        <f>SUM(G3:G8,G11:G36)</f>
        <v>1137.3090351668998</v>
      </c>
      <c r="H37" s="265">
        <f>SUM(H3:H8,H11:H36)</f>
        <v>-29.897010648782615</v>
      </c>
      <c r="I37" s="265">
        <f t="shared" ref="I37" si="3">SUM(I3:I8,I11:I36)</f>
        <v>96.789812827432414</v>
      </c>
    </row>
    <row r="38" spans="1:9" x14ac:dyDescent="0.3">
      <c r="H38" s="283" t="s">
        <v>61</v>
      </c>
      <c r="I38" s="283"/>
    </row>
  </sheetData>
  <mergeCells count="3">
    <mergeCell ref="B1:E1"/>
    <mergeCell ref="F1:I1"/>
    <mergeCell ref="H38:I3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workbookViewId="0"/>
  </sheetViews>
  <sheetFormatPr defaultRowHeight="16.5" x14ac:dyDescent="0.3"/>
  <cols>
    <col min="1" max="1" width="11.85546875" style="42" bestFit="1" customWidth="1"/>
    <col min="2" max="2" width="74.28515625" style="42" bestFit="1" customWidth="1"/>
    <col min="3" max="3" width="9.5703125" style="42" customWidth="1"/>
    <col min="4" max="4" width="10.140625" style="42" customWidth="1"/>
    <col min="5" max="5" width="11.28515625" style="42" customWidth="1"/>
    <col min="6" max="16384" width="9.140625" style="42"/>
  </cols>
  <sheetData>
    <row r="1" spans="1:7" ht="17.25" thickBot="1" x14ac:dyDescent="0.35">
      <c r="A1" s="82" t="s">
        <v>1</v>
      </c>
    </row>
    <row r="2" spans="1:7" ht="18" thickTop="1" thickBot="1" x14ac:dyDescent="0.35">
      <c r="A2" s="43"/>
      <c r="B2" s="44" t="s">
        <v>2</v>
      </c>
      <c r="C2" s="45">
        <v>2013</v>
      </c>
      <c r="D2" s="45">
        <v>2014</v>
      </c>
      <c r="E2" s="196">
        <v>2015</v>
      </c>
    </row>
    <row r="3" spans="1:7" x14ac:dyDescent="0.3">
      <c r="A3" s="46">
        <v>1</v>
      </c>
      <c r="B3" s="47" t="s">
        <v>3</v>
      </c>
      <c r="C3" s="48">
        <v>-0.5</v>
      </c>
      <c r="D3" s="48">
        <v>-0.5</v>
      </c>
      <c r="E3" s="197">
        <v>-0.5</v>
      </c>
    </row>
    <row r="4" spans="1:7" x14ac:dyDescent="0.3">
      <c r="A4" s="49">
        <v>2</v>
      </c>
      <c r="B4" s="50" t="s">
        <v>4</v>
      </c>
      <c r="C4" s="51">
        <f>ŠS!C6</f>
        <v>-2.3118981351656149</v>
      </c>
      <c r="D4" s="51">
        <f>ŠS!D6</f>
        <v>-2.4261281673287645</v>
      </c>
      <c r="E4" s="198">
        <f>ŠS!E6</f>
        <v>-2.5465002246383737</v>
      </c>
      <c r="G4" s="242"/>
    </row>
    <row r="5" spans="1:7" x14ac:dyDescent="0.3">
      <c r="A5" s="49" t="s">
        <v>5</v>
      </c>
      <c r="B5" s="52" t="s">
        <v>6</v>
      </c>
      <c r="C5" s="53" t="str">
        <f>IF(C4&lt;C3,"nie","áno")</f>
        <v>nie</v>
      </c>
      <c r="D5" s="53" t="str">
        <f>IF(D4&lt;D3,"nie","áno")</f>
        <v>nie</v>
      </c>
      <c r="E5" s="198" t="str">
        <f>IF(E4&lt;E3,"nie","áno")</f>
        <v>nie</v>
      </c>
      <c r="G5" s="242"/>
    </row>
    <row r="6" spans="1:7" ht="17.25" thickBot="1" x14ac:dyDescent="0.35">
      <c r="A6" s="49">
        <v>4</v>
      </c>
      <c r="B6" s="50" t="s">
        <v>7</v>
      </c>
      <c r="C6" s="51">
        <f>ŠS!C8</f>
        <v>-3.4592724759217965</v>
      </c>
      <c r="D6" s="51">
        <f>ŠS!D8</f>
        <v>-2.7194543569413474</v>
      </c>
      <c r="E6" s="199">
        <f>ŠS!E8</f>
        <v>-1.9796362379608983</v>
      </c>
      <c r="G6" s="242"/>
    </row>
    <row r="7" spans="1:7" ht="18" thickTop="1" thickBot="1" x14ac:dyDescent="0.35">
      <c r="A7" s="54"/>
      <c r="B7" s="55" t="s">
        <v>8</v>
      </c>
      <c r="C7" s="56"/>
      <c r="D7" s="56"/>
      <c r="E7" s="200"/>
      <c r="G7" s="242"/>
    </row>
    <row r="8" spans="1:7" ht="17.25" thickTop="1" x14ac:dyDescent="0.3">
      <c r="A8" s="57" t="s">
        <v>172</v>
      </c>
      <c r="B8" s="50" t="s">
        <v>9</v>
      </c>
      <c r="C8" s="51">
        <f>(C4-C6)</f>
        <v>1.1473743407561816</v>
      </c>
      <c r="D8" s="51">
        <f t="shared" ref="D8:E8" si="0">(D4-D6)</f>
        <v>0.29332618961258294</v>
      </c>
      <c r="E8" s="201">
        <f t="shared" si="0"/>
        <v>-0.5668639866774754</v>
      </c>
      <c r="G8" s="242"/>
    </row>
    <row r="9" spans="1:7" ht="39" thickBot="1" x14ac:dyDescent="0.35">
      <c r="A9" s="58" t="s">
        <v>10</v>
      </c>
      <c r="B9" s="59" t="s">
        <v>11</v>
      </c>
      <c r="C9" s="60" t="str">
        <f>IF(C8&gt;0,"V súlade",IF(C8&gt;=-0.5,"Nevýrazná odchýlka","Výrazná odchýlka"))</f>
        <v>V súlade</v>
      </c>
      <c r="D9" s="60" t="str">
        <f>IF(D8&gt;0,"V súlade",IF(D8&gt;=-0.5,"Nevýrazná odchýlka","Výrazná odchýlka"))</f>
        <v>V súlade</v>
      </c>
      <c r="E9" s="202" t="str">
        <f>IF(E8&gt;0,"V súlade",IF(E8&gt;=-0.5,"Nevýrazná odchýlka","Výrazná odchýlka*"))</f>
        <v>Výrazná odchýlka*</v>
      </c>
      <c r="G9" s="242"/>
    </row>
    <row r="10" spans="1:7" ht="17.25" thickBot="1" x14ac:dyDescent="0.35">
      <c r="A10" s="276" t="s">
        <v>12</v>
      </c>
      <c r="B10" s="277"/>
      <c r="C10" s="277"/>
      <c r="D10" s="277"/>
      <c r="E10" s="278"/>
      <c r="G10" s="242"/>
    </row>
    <row r="11" spans="1:7" ht="17.25" thickBot="1" x14ac:dyDescent="0.35">
      <c r="A11" s="61"/>
      <c r="B11" s="279" t="s">
        <v>13</v>
      </c>
      <c r="C11" s="280"/>
      <c r="D11" s="280"/>
      <c r="E11" s="281"/>
      <c r="G11" s="242"/>
    </row>
    <row r="12" spans="1:7" ht="17.25" thickTop="1" x14ac:dyDescent="0.3">
      <c r="A12" s="49">
        <v>6</v>
      </c>
      <c r="B12" s="50" t="s">
        <v>14</v>
      </c>
      <c r="C12" s="51">
        <f>VP!C26</f>
        <v>0.46056746362103013</v>
      </c>
      <c r="D12" s="51">
        <f>VP!D26</f>
        <v>-0.68711150086054384</v>
      </c>
      <c r="E12" s="201">
        <f>VP!E26</f>
        <v>-2.0486390661493874</v>
      </c>
      <c r="G12" s="242"/>
    </row>
    <row r="13" spans="1:7" x14ac:dyDescent="0.3">
      <c r="A13" s="62" t="s">
        <v>15</v>
      </c>
      <c r="B13" s="63" t="s">
        <v>16</v>
      </c>
      <c r="C13" s="64">
        <f>C12</f>
        <v>0.46056746362103013</v>
      </c>
      <c r="D13" s="64">
        <f>VP!D28</f>
        <v>-0.22654403723951372</v>
      </c>
      <c r="E13" s="203">
        <f>VP!E28</f>
        <v>-2.2751831033889012</v>
      </c>
      <c r="G13" s="242"/>
    </row>
    <row r="14" spans="1:7" ht="39" thickBot="1" x14ac:dyDescent="0.35">
      <c r="A14" s="58" t="s">
        <v>17</v>
      </c>
      <c r="B14" s="59" t="s">
        <v>18</v>
      </c>
      <c r="C14" s="60" t="str">
        <f>IF(C13&gt;0,"V súlade",IF(C13&gt;=-0.5,"Nevýrazná odchýlka","Výrazná odchýlka"))</f>
        <v>V súlade</v>
      </c>
      <c r="D14" s="60" t="str">
        <f>IF(D13&gt;0,"V súlade",IF(D13&gt;=-0.5,"Nevýrazná odchýlka","Výrazná odchýlka"))</f>
        <v>Nevýrazná odchýlka</v>
      </c>
      <c r="E14" s="202" t="str">
        <f>IF(E13&gt;0,"V súlade",IF(E13&gt;=-0.5,"Nevýrazná odchýlka","Výrazná odchýlka*"))</f>
        <v>Výrazná odchýlka*</v>
      </c>
      <c r="G14" s="242"/>
    </row>
    <row r="15" spans="1:7" ht="17.25" thickBot="1" x14ac:dyDescent="0.35">
      <c r="A15" s="276" t="s">
        <v>12</v>
      </c>
      <c r="B15" s="277"/>
      <c r="C15" s="277"/>
      <c r="D15" s="277"/>
      <c r="E15" s="278"/>
      <c r="G15" s="242"/>
    </row>
    <row r="16" spans="1:7" ht="17.25" thickBot="1" x14ac:dyDescent="0.35">
      <c r="A16" s="65"/>
      <c r="B16" s="282" t="s">
        <v>19</v>
      </c>
      <c r="C16" s="282"/>
      <c r="D16" s="282"/>
      <c r="E16" s="281"/>
      <c r="G16" s="242"/>
    </row>
    <row r="17" spans="1:7" x14ac:dyDescent="0.3">
      <c r="A17" s="66">
        <v>8</v>
      </c>
      <c r="B17" s="67" t="s">
        <v>20</v>
      </c>
      <c r="C17" s="68">
        <f>ŠS_faktory!B10</f>
        <v>1.1473743407561816</v>
      </c>
      <c r="D17" s="68">
        <f>ŠS_faktory!C10</f>
        <v>0.29332618961258294</v>
      </c>
      <c r="E17" s="204">
        <f>ŠS_faktory!F10</f>
        <v>-1.0507860605110775E-2</v>
      </c>
      <c r="G17" s="242"/>
    </row>
    <row r="18" spans="1:7" ht="17.25" thickBot="1" x14ac:dyDescent="0.35">
      <c r="A18" s="62">
        <v>9</v>
      </c>
      <c r="B18" s="63" t="s">
        <v>21</v>
      </c>
      <c r="C18" s="64">
        <f>VP_faktory!B9</f>
        <v>0</v>
      </c>
      <c r="D18" s="64">
        <f>VP_faktory!C9</f>
        <v>0.90874368507997272</v>
      </c>
      <c r="E18" s="205">
        <f>VP_faktory!D9</f>
        <v>-0.46084712668222527</v>
      </c>
      <c r="G18" s="242"/>
    </row>
    <row r="19" spans="1:7" ht="26.25" thickBot="1" x14ac:dyDescent="0.35">
      <c r="A19" s="69" t="s">
        <v>22</v>
      </c>
      <c r="B19" s="70" t="s">
        <v>23</v>
      </c>
      <c r="C19" s="60" t="str">
        <f>IF(AND(C17&gt;0,C18&gt;0),"V súlade",IF(OR(C17&gt;=-0.5,C18&gt;=-0.5),"Nevýrazné odchýlenie","Výrazné odchýlenie"))</f>
        <v>Nevýrazné odchýlenie</v>
      </c>
      <c r="D19" s="60" t="str">
        <f>IF(AND(D17&gt;0,D18&gt;0),"V súlade",IF(OR(D17&gt;=-0.5,D18&gt;=-0.5),"Nevýrazné odchýlenie","Výrazné odchýlenie"))</f>
        <v>V súlade</v>
      </c>
      <c r="E19" s="206" t="str">
        <f>IF(AND(E17&gt;0,E18&gt;0),"V súlade",IF(OR(E17&gt;=-0.5,E18&gt;=-0.5),"Nevýrazné odchýlenie","Výrazné odchýlenie"))</f>
        <v>Nevýrazné odchýlenie</v>
      </c>
      <c r="G19" s="242"/>
    </row>
    <row r="20" spans="1:7" x14ac:dyDescent="0.3">
      <c r="D20" s="283" t="s">
        <v>61</v>
      </c>
      <c r="E20" s="283"/>
      <c r="G20" s="242"/>
    </row>
    <row r="21" spans="1:7" x14ac:dyDescent="0.3">
      <c r="G21" s="242"/>
    </row>
  </sheetData>
  <mergeCells count="5">
    <mergeCell ref="A10:E10"/>
    <mergeCell ref="B11:E11"/>
    <mergeCell ref="A15:E15"/>
    <mergeCell ref="B16:E16"/>
    <mergeCell ref="D20:E2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GridLines="0" workbookViewId="0">
      <selection activeCell="D10" sqref="D10:E10"/>
    </sheetView>
  </sheetViews>
  <sheetFormatPr defaultRowHeight="16.5" x14ac:dyDescent="0.3"/>
  <cols>
    <col min="1" max="1" width="34" style="42" customWidth="1"/>
    <col min="2" max="2" width="10.140625" style="42" customWidth="1"/>
    <col min="3" max="5" width="7" style="42" customWidth="1"/>
    <col min="6" max="16384" width="9.140625" style="42"/>
  </cols>
  <sheetData>
    <row r="1" spans="1:7" ht="15.75" customHeight="1" thickBot="1" x14ac:dyDescent="0.35">
      <c r="A1" s="284" t="s">
        <v>128</v>
      </c>
      <c r="B1" s="284"/>
      <c r="C1" s="284"/>
      <c r="D1" s="284"/>
      <c r="E1" s="284"/>
      <c r="F1" s="137"/>
      <c r="G1" s="137"/>
    </row>
    <row r="2" spans="1:7" ht="17.25" thickBot="1" x14ac:dyDescent="0.35">
      <c r="A2" s="72"/>
      <c r="B2" s="73">
        <v>2012</v>
      </c>
      <c r="C2" s="73">
        <v>2013</v>
      </c>
      <c r="D2" s="73">
        <v>2014</v>
      </c>
      <c r="E2" s="73">
        <v>2015</v>
      </c>
    </row>
    <row r="3" spans="1:7" x14ac:dyDescent="0.3">
      <c r="A3" s="74" t="s">
        <v>24</v>
      </c>
      <c r="B3" s="138">
        <f>B32</f>
        <v>-4.3080348947237681</v>
      </c>
      <c r="C3" s="138">
        <f>C32</f>
        <v>-2.6970740523800814</v>
      </c>
      <c r="D3" s="138">
        <f>D32</f>
        <v>-2.6946832785831276</v>
      </c>
      <c r="E3" s="138">
        <f>E32</f>
        <v>-2.9694016379719343</v>
      </c>
      <c r="G3" s="242"/>
    </row>
    <row r="4" spans="1:7" x14ac:dyDescent="0.3">
      <c r="A4" s="76" t="s">
        <v>25</v>
      </c>
      <c r="B4" s="139">
        <f>'Cyklická zložka'!B3</f>
        <v>-0.25511071898901072</v>
      </c>
      <c r="C4" s="139">
        <f>'Cyklická zložka'!C3</f>
        <v>-0.59865437679070654</v>
      </c>
      <c r="D4" s="139">
        <f>'Cyklická zložka'!D3</f>
        <v>-0.39442629960825965</v>
      </c>
      <c r="E4" s="139">
        <f>'Cyklická zložka'!E3</f>
        <v>-0.1923414984521824</v>
      </c>
      <c r="G4" s="242"/>
    </row>
    <row r="5" spans="1:7" x14ac:dyDescent="0.3">
      <c r="A5" s="76" t="s">
        <v>26</v>
      </c>
      <c r="B5" s="139">
        <f>'One-offs'!B14</f>
        <v>0.14616641916748851</v>
      </c>
      <c r="C5" s="139">
        <f>'One-offs'!C14</f>
        <v>0.21347845957624001</v>
      </c>
      <c r="D5" s="139">
        <f>'One-offs'!D14</f>
        <v>0.12587118835389655</v>
      </c>
      <c r="E5" s="139">
        <f>'One-offs'!E14</f>
        <v>-0.23055991488137828</v>
      </c>
      <c r="G5" s="242"/>
    </row>
    <row r="6" spans="1:7" ht="17.25" thickBot="1" x14ac:dyDescent="0.35">
      <c r="A6" s="77" t="s">
        <v>27</v>
      </c>
      <c r="B6" s="140">
        <f>B3-B4-B5</f>
        <v>-4.1990905949022457</v>
      </c>
      <c r="C6" s="140">
        <f>C3-C4-C5</f>
        <v>-2.3118981351656149</v>
      </c>
      <c r="D6" s="140">
        <f>D3-D4-D5</f>
        <v>-2.4261281673287645</v>
      </c>
      <c r="E6" s="140">
        <f>E3-E4-E5</f>
        <v>-2.5465002246383737</v>
      </c>
    </row>
    <row r="7" spans="1:7" ht="17.25" thickBot="1" x14ac:dyDescent="0.35">
      <c r="A7" s="79" t="s">
        <v>28</v>
      </c>
      <c r="B7" s="141">
        <v>0.57431522311051098</v>
      </c>
      <c r="C7" s="141">
        <f>C6-B6</f>
        <v>1.8871924597366307</v>
      </c>
      <c r="D7" s="141">
        <f>D6-C6</f>
        <v>-0.11423003216314953</v>
      </c>
      <c r="E7" s="141">
        <f>E6-D6</f>
        <v>-0.1203720573096092</v>
      </c>
    </row>
    <row r="8" spans="1:7" x14ac:dyDescent="0.3">
      <c r="A8" s="76" t="s">
        <v>129</v>
      </c>
      <c r="B8" s="139">
        <f>B6</f>
        <v>-4.1990905949022457</v>
      </c>
      <c r="C8" s="139">
        <f>C37</f>
        <v>-3.4592724759217965</v>
      </c>
      <c r="D8" s="139">
        <f>D37</f>
        <v>-2.7194543569413474</v>
      </c>
      <c r="E8" s="139">
        <f>E37</f>
        <v>-1.9796362379608983</v>
      </c>
      <c r="F8" s="139"/>
    </row>
    <row r="9" spans="1:7" x14ac:dyDescent="0.3">
      <c r="A9" s="76" t="s">
        <v>130</v>
      </c>
      <c r="B9" s="142">
        <f>B6-B8</f>
        <v>0</v>
      </c>
      <c r="C9" s="143">
        <f>C6-C8</f>
        <v>1.1473743407561816</v>
      </c>
      <c r="D9" s="143">
        <f>D6-D8</f>
        <v>0.29332618961258294</v>
      </c>
      <c r="E9" s="143">
        <f>E6-E8</f>
        <v>-0.5668639866774754</v>
      </c>
    </row>
    <row r="10" spans="1:7" x14ac:dyDescent="0.3">
      <c r="D10" s="283" t="s">
        <v>61</v>
      </c>
      <c r="E10" s="283"/>
    </row>
    <row r="12" spans="1:7" x14ac:dyDescent="0.3">
      <c r="A12" s="144" t="s">
        <v>131</v>
      </c>
      <c r="G12" s="144" t="s">
        <v>132</v>
      </c>
    </row>
    <row r="26" spans="1:12" x14ac:dyDescent="0.3">
      <c r="D26" s="283" t="s">
        <v>61</v>
      </c>
      <c r="E26" s="283"/>
      <c r="K26" s="283" t="s">
        <v>61</v>
      </c>
      <c r="L26" s="283"/>
    </row>
    <row r="28" spans="1:12" ht="17.25" thickBot="1" x14ac:dyDescent="0.35">
      <c r="A28" s="162" t="s">
        <v>142</v>
      </c>
      <c r="B28" s="162"/>
      <c r="C28" s="162"/>
      <c r="D28" s="162"/>
      <c r="E28" s="162"/>
    </row>
    <row r="29" spans="1:12" ht="17.25" thickBot="1" x14ac:dyDescent="0.35">
      <c r="A29" s="72"/>
      <c r="B29" s="73">
        <v>2012</v>
      </c>
      <c r="C29" s="73">
        <v>2013</v>
      </c>
      <c r="D29" s="73">
        <v>2014</v>
      </c>
      <c r="E29" s="73">
        <v>2015</v>
      </c>
    </row>
    <row r="30" spans="1:12" x14ac:dyDescent="0.3">
      <c r="A30" s="76" t="s">
        <v>143</v>
      </c>
      <c r="B30" s="166">
        <f>26229.052*100/B33</f>
        <v>36.217965911987058</v>
      </c>
      <c r="C30" s="166">
        <f>28497.419*100/C33</f>
        <v>38.596038512204387</v>
      </c>
      <c r="D30" s="166">
        <f>29646.341*100/D33</f>
        <v>39.235258992676556</v>
      </c>
      <c r="E30" s="166">
        <f>33304.031*100/E33</f>
        <v>42.658747514259908</v>
      </c>
    </row>
    <row r="31" spans="1:12" x14ac:dyDescent="0.3">
      <c r="A31" s="76" t="s">
        <v>144</v>
      </c>
      <c r="B31" s="166">
        <f>29348.931*100/B33</f>
        <v>40.526000806710826</v>
      </c>
      <c r="C31" s="166">
        <f>30488.806*100/C33</f>
        <v>41.293112564584469</v>
      </c>
      <c r="D31" s="166">
        <f>31682.456*100/D33</f>
        <v>41.929942271259684</v>
      </c>
      <c r="E31" s="166">
        <f>35622.267*100/E33</f>
        <v>45.628149152231842</v>
      </c>
    </row>
    <row r="32" spans="1:12" x14ac:dyDescent="0.3">
      <c r="A32" s="167" t="s">
        <v>145</v>
      </c>
      <c r="B32" s="168">
        <f>B30-B31</f>
        <v>-4.3080348947237681</v>
      </c>
      <c r="C32" s="168">
        <f t="shared" ref="C32:E32" si="0">C30-C31</f>
        <v>-2.6970740523800814</v>
      </c>
      <c r="D32" s="168">
        <f t="shared" si="0"/>
        <v>-2.6946832785831276</v>
      </c>
      <c r="E32" s="168">
        <f t="shared" si="0"/>
        <v>-2.9694016379719343</v>
      </c>
    </row>
    <row r="33" spans="1:8" x14ac:dyDescent="0.3">
      <c r="A33" s="74" t="s">
        <v>146</v>
      </c>
      <c r="B33" s="221">
        <v>72420.002999999997</v>
      </c>
      <c r="C33" s="222">
        <v>73835.088000000003</v>
      </c>
      <c r="D33" s="222">
        <v>75560.456999999995</v>
      </c>
      <c r="E33" s="222">
        <v>78070.812999999995</v>
      </c>
    </row>
    <row r="34" spans="1:8" x14ac:dyDescent="0.3">
      <c r="D34" s="283" t="s">
        <v>61</v>
      </c>
      <c r="E34" s="283"/>
    </row>
    <row r="35" spans="1:8" ht="26.25" thickBot="1" x14ac:dyDescent="0.35">
      <c r="A35" s="162" t="s">
        <v>149</v>
      </c>
      <c r="B35" s="162"/>
      <c r="C35" s="162"/>
      <c r="D35" s="162"/>
      <c r="E35" s="162"/>
      <c r="F35" s="243"/>
      <c r="G35" s="243"/>
    </row>
    <row r="36" spans="1:8" x14ac:dyDescent="0.3">
      <c r="A36" s="244"/>
      <c r="B36" s="189">
        <v>2012</v>
      </c>
      <c r="C36" s="189">
        <v>2013</v>
      </c>
      <c r="D36" s="189">
        <v>2014</v>
      </c>
      <c r="E36" s="189">
        <v>2015</v>
      </c>
      <c r="F36" s="189">
        <v>2016</v>
      </c>
      <c r="G36" s="189">
        <v>2017</v>
      </c>
    </row>
    <row r="37" spans="1:8" x14ac:dyDescent="0.3">
      <c r="A37" s="76" t="s">
        <v>129</v>
      </c>
      <c r="B37" s="139">
        <f>B6</f>
        <v>-4.1990905949022457</v>
      </c>
      <c r="C37" s="139">
        <f>B37-(($B$37-$G$37)/5)</f>
        <v>-3.4592724759217965</v>
      </c>
      <c r="D37" s="139">
        <f t="shared" ref="D37:F37" si="1">C37-(($B$37-$G$37)/5)</f>
        <v>-2.7194543569413474</v>
      </c>
      <c r="E37" s="139">
        <f t="shared" si="1"/>
        <v>-1.9796362379608983</v>
      </c>
      <c r="F37" s="139">
        <f t="shared" si="1"/>
        <v>-1.2398181189804491</v>
      </c>
      <c r="G37" s="139">
        <v>-0.5</v>
      </c>
      <c r="H37" s="139"/>
    </row>
    <row r="38" spans="1:8" x14ac:dyDescent="0.3">
      <c r="F38" s="283" t="s">
        <v>61</v>
      </c>
      <c r="G38" s="283"/>
    </row>
  </sheetData>
  <mergeCells count="6">
    <mergeCell ref="K26:L26"/>
    <mergeCell ref="A1:E1"/>
    <mergeCell ref="D34:E34"/>
    <mergeCell ref="F38:G38"/>
    <mergeCell ref="D10:E10"/>
    <mergeCell ref="D26:E2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workbookViewId="0">
      <selection activeCell="A11" sqref="A11:F11"/>
    </sheetView>
  </sheetViews>
  <sheetFormatPr defaultRowHeight="16.5" x14ac:dyDescent="0.3"/>
  <cols>
    <col min="1" max="1" width="51.28515625" style="42" customWidth="1"/>
    <col min="2" max="2" width="10.85546875" style="42" customWidth="1"/>
    <col min="3" max="3" width="9.28515625" style="42" bestFit="1" customWidth="1"/>
    <col min="4" max="4" width="9.5703125" style="42" bestFit="1" customWidth="1"/>
    <col min="5" max="7" width="9.28515625" style="42" bestFit="1" customWidth="1"/>
    <col min="8" max="16384" width="9.140625" style="42"/>
  </cols>
  <sheetData>
    <row r="1" spans="1:7" ht="17.25" thickBot="1" x14ac:dyDescent="0.35">
      <c r="A1" s="285" t="s">
        <v>62</v>
      </c>
      <c r="B1" s="285"/>
      <c r="C1" s="285"/>
      <c r="D1" s="285"/>
      <c r="E1" s="285"/>
      <c r="F1" s="285"/>
    </row>
    <row r="2" spans="1:7" ht="17.25" thickBot="1" x14ac:dyDescent="0.35">
      <c r="A2" s="72"/>
      <c r="B2" s="73">
        <v>2013</v>
      </c>
      <c r="C2" s="73">
        <v>2014</v>
      </c>
      <c r="D2" s="73" t="s">
        <v>52</v>
      </c>
      <c r="E2" s="73" t="s">
        <v>53</v>
      </c>
      <c r="F2" s="73" t="s">
        <v>54</v>
      </c>
    </row>
    <row r="3" spans="1:7" x14ac:dyDescent="0.3">
      <c r="A3" s="74" t="s">
        <v>55</v>
      </c>
      <c r="B3" s="182">
        <f>ŠS!C3</f>
        <v>-2.6970740523800814</v>
      </c>
      <c r="C3" s="182">
        <f>ŠS!D3</f>
        <v>-2.6946832785831276</v>
      </c>
      <c r="D3" s="182">
        <f>ŠS!E3</f>
        <v>-2.9694016379719343</v>
      </c>
      <c r="E3" s="90" t="s">
        <v>56</v>
      </c>
      <c r="F3" s="90" t="s">
        <v>56</v>
      </c>
    </row>
    <row r="4" spans="1:7" x14ac:dyDescent="0.3">
      <c r="A4" s="74" t="s">
        <v>57</v>
      </c>
      <c r="B4" s="78" t="s">
        <v>56</v>
      </c>
      <c r="C4" s="78" t="s">
        <v>56</v>
      </c>
      <c r="D4" s="78" t="s">
        <v>56</v>
      </c>
      <c r="E4" s="230">
        <f>(C16/1000/ŠS!E33)*100+D3</f>
        <v>-2.8959404447344563</v>
      </c>
      <c r="F4" s="91" t="s">
        <v>56</v>
      </c>
      <c r="G4" s="165"/>
    </row>
    <row r="5" spans="1:7" x14ac:dyDescent="0.3">
      <c r="A5" s="74" t="s">
        <v>58</v>
      </c>
      <c r="B5" s="78" t="s">
        <v>56</v>
      </c>
      <c r="C5" s="78" t="s">
        <v>56</v>
      </c>
      <c r="D5" s="78" t="s">
        <v>56</v>
      </c>
      <c r="E5" s="91" t="s">
        <v>56</v>
      </c>
      <c r="F5" s="230">
        <f>E4+VP_faktory!D23</f>
        <v>-2.4130455118995697</v>
      </c>
      <c r="G5" s="165"/>
    </row>
    <row r="6" spans="1:7" x14ac:dyDescent="0.3">
      <c r="A6" s="76" t="s">
        <v>25</v>
      </c>
      <c r="B6" s="80">
        <f>ŠS!C4</f>
        <v>-0.59865437679070654</v>
      </c>
      <c r="C6" s="80">
        <f>ŠS!D4</f>
        <v>-0.39442629960825965</v>
      </c>
      <c r="D6" s="80">
        <f>ŠS!E4</f>
        <v>-0.1923414984521824</v>
      </c>
      <c r="E6" s="94">
        <f>D6</f>
        <v>-0.1923414984521824</v>
      </c>
      <c r="F6" s="94">
        <f>E6</f>
        <v>-0.1923414984521824</v>
      </c>
      <c r="G6" s="245"/>
    </row>
    <row r="7" spans="1:7" x14ac:dyDescent="0.3">
      <c r="A7" s="76" t="s">
        <v>26</v>
      </c>
      <c r="B7" s="80">
        <f>ŠS!C5</f>
        <v>0.21347845957624001</v>
      </c>
      <c r="C7" s="80">
        <f>ŠS!D5</f>
        <v>0.12587118835389655</v>
      </c>
      <c r="D7" s="80">
        <f>ŠS!E5</f>
        <v>-0.23055991488137828</v>
      </c>
      <c r="E7" s="94">
        <f>D7</f>
        <v>-0.23055991488137828</v>
      </c>
      <c r="F7" s="94">
        <f>D7</f>
        <v>-0.23055991488137828</v>
      </c>
      <c r="G7" s="246"/>
    </row>
    <row r="8" spans="1:7" ht="17.25" thickBot="1" x14ac:dyDescent="0.35">
      <c r="A8" s="77" t="s">
        <v>27</v>
      </c>
      <c r="B8" s="81">
        <f>B3-B6-B7</f>
        <v>-2.3118981351656149</v>
      </c>
      <c r="C8" s="81">
        <f t="shared" ref="C8:D8" si="0">C3-C6-C7</f>
        <v>-2.4261281673287645</v>
      </c>
      <c r="D8" s="81">
        <f t="shared" si="0"/>
        <v>-2.5465002246383737</v>
      </c>
      <c r="E8" s="81">
        <f>E4-E6-E7</f>
        <v>-2.4730390314008956</v>
      </c>
      <c r="F8" s="81">
        <f>F5-F6-F7</f>
        <v>-1.990144098566009</v>
      </c>
      <c r="G8" s="245"/>
    </row>
    <row r="9" spans="1:7" ht="17.25" thickBot="1" x14ac:dyDescent="0.35">
      <c r="A9" s="92" t="s">
        <v>59</v>
      </c>
      <c r="B9" s="95">
        <f>ŠS!C37</f>
        <v>-3.4592724759217965</v>
      </c>
      <c r="C9" s="95">
        <f>ŠS!D37</f>
        <v>-2.7194543569413474</v>
      </c>
      <c r="D9" s="95">
        <f>ŠS!E37</f>
        <v>-1.9796362379608983</v>
      </c>
      <c r="E9" s="96">
        <f>D9</f>
        <v>-1.9796362379608983</v>
      </c>
      <c r="F9" s="96">
        <f>E9</f>
        <v>-1.9796362379608983</v>
      </c>
    </row>
    <row r="10" spans="1:7" ht="17.25" thickBot="1" x14ac:dyDescent="0.35">
      <c r="A10" s="93" t="s">
        <v>60</v>
      </c>
      <c r="B10" s="194">
        <f>B8-B9</f>
        <v>1.1473743407561816</v>
      </c>
      <c r="C10" s="194">
        <f>C8-C9</f>
        <v>0.29332618961258294</v>
      </c>
      <c r="D10" s="195">
        <f>D8-D9</f>
        <v>-0.5668639866774754</v>
      </c>
      <c r="E10" s="195">
        <f>E8-E9</f>
        <v>-0.49340279343999738</v>
      </c>
      <c r="F10" s="195">
        <f>F8-F9</f>
        <v>-1.0507860605110775E-2</v>
      </c>
    </row>
    <row r="11" spans="1:7" x14ac:dyDescent="0.3">
      <c r="A11" s="286" t="s">
        <v>61</v>
      </c>
      <c r="B11" s="286"/>
      <c r="C11" s="286"/>
      <c r="D11" s="286"/>
      <c r="E11" s="286"/>
      <c r="F11" s="286"/>
    </row>
    <row r="13" spans="1:7" ht="17.25" thickBot="1" x14ac:dyDescent="0.35">
      <c r="A13" s="285" t="s">
        <v>171</v>
      </c>
      <c r="B13" s="285"/>
      <c r="C13" s="285"/>
      <c r="D13" s="287"/>
      <c r="E13" s="287"/>
      <c r="F13" s="287"/>
    </row>
    <row r="14" spans="1:7" x14ac:dyDescent="0.3">
      <c r="A14" s="232" t="s">
        <v>165</v>
      </c>
      <c r="B14" s="231" t="s">
        <v>166</v>
      </c>
      <c r="C14" s="235" t="s">
        <v>167</v>
      </c>
      <c r="D14" s="288" t="s">
        <v>168</v>
      </c>
      <c r="E14" s="288"/>
      <c r="F14" s="288"/>
      <c r="G14" s="288"/>
    </row>
    <row r="15" spans="1:7" x14ac:dyDescent="0.3">
      <c r="A15" s="233"/>
      <c r="B15" s="234">
        <v>2014</v>
      </c>
      <c r="C15" s="236">
        <v>2015</v>
      </c>
      <c r="D15" s="234">
        <v>2016</v>
      </c>
      <c r="E15" s="234">
        <v>2017</v>
      </c>
      <c r="F15" s="234">
        <v>2018</v>
      </c>
      <c r="G15" s="234">
        <v>2019</v>
      </c>
    </row>
    <row r="16" spans="1:7" ht="17.25" thickBot="1" x14ac:dyDescent="0.35">
      <c r="A16" s="76" t="s">
        <v>169</v>
      </c>
      <c r="B16" s="237">
        <v>15025.04977</v>
      </c>
      <c r="C16" s="238">
        <v>57351.750800000002</v>
      </c>
      <c r="D16" s="237">
        <v>277658</v>
      </c>
      <c r="E16" s="237">
        <v>223739</v>
      </c>
      <c r="F16" s="237">
        <v>127834</v>
      </c>
      <c r="G16" s="237">
        <v>130636</v>
      </c>
    </row>
    <row r="17" spans="1:7" x14ac:dyDescent="0.3">
      <c r="A17" s="289" t="s">
        <v>170</v>
      </c>
      <c r="B17" s="289"/>
      <c r="C17" s="289"/>
      <c r="D17" s="289"/>
      <c r="E17" s="289"/>
      <c r="F17" s="289"/>
      <c r="G17" s="289"/>
    </row>
  </sheetData>
  <mergeCells count="5">
    <mergeCell ref="A1:F1"/>
    <mergeCell ref="A11:F11"/>
    <mergeCell ref="A13:F13"/>
    <mergeCell ref="D14:G14"/>
    <mergeCell ref="A17:G17"/>
  </mergeCells>
  <hyperlinks>
    <hyperlink ref="A17:G17" r:id="rId1" display="Zdroj: VpDP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9"/>
  <sheetViews>
    <sheetView showGridLines="0" workbookViewId="0">
      <selection activeCell="I6" sqref="I6"/>
    </sheetView>
  </sheetViews>
  <sheetFormatPr defaultRowHeight="12.75" x14ac:dyDescent="0.2"/>
  <cols>
    <col min="1" max="1" width="30.140625" style="249" customWidth="1"/>
    <col min="2" max="14" width="8" style="249" customWidth="1"/>
    <col min="15" max="15" width="8" style="249" bestFit="1" customWidth="1"/>
    <col min="16" max="21" width="9.28515625" style="249" bestFit="1" customWidth="1"/>
    <col min="22" max="16384" width="9.140625" style="249"/>
  </cols>
  <sheetData>
    <row r="1" spans="1:15" ht="13.5" thickBot="1" x14ac:dyDescent="0.25">
      <c r="A1" s="302" t="s">
        <v>174</v>
      </c>
      <c r="B1" s="302"/>
      <c r="C1" s="302"/>
      <c r="D1" s="302"/>
      <c r="E1" s="302"/>
    </row>
    <row r="2" spans="1:15" ht="13.5" thickBot="1" x14ac:dyDescent="0.25">
      <c r="A2" s="301"/>
      <c r="B2" s="303">
        <v>2012</v>
      </c>
      <c r="C2" s="303">
        <v>2013</v>
      </c>
      <c r="D2" s="303">
        <v>2014</v>
      </c>
      <c r="E2" s="303">
        <v>2015</v>
      </c>
      <c r="L2" s="304"/>
    </row>
    <row r="3" spans="1:15" ht="13.5" thickBot="1" x14ac:dyDescent="0.25">
      <c r="A3" s="305" t="s">
        <v>175</v>
      </c>
      <c r="B3" s="310">
        <v>-0.25511071898901072</v>
      </c>
      <c r="C3" s="310">
        <v>-0.59865437679070654</v>
      </c>
      <c r="D3" s="310">
        <v>-0.39442629960825965</v>
      </c>
      <c r="E3" s="310">
        <v>-0.1923414984521824</v>
      </c>
      <c r="G3" s="306"/>
      <c r="H3" s="307"/>
      <c r="I3" s="307"/>
      <c r="J3" s="307"/>
      <c r="K3" s="307"/>
      <c r="L3" s="307"/>
      <c r="M3" s="307"/>
      <c r="N3" s="307"/>
      <c r="O3" s="307"/>
    </row>
    <row r="4" spans="1:15" x14ac:dyDescent="0.2">
      <c r="A4" s="249" t="s">
        <v>176</v>
      </c>
      <c r="B4" s="312">
        <v>-2.2420066335925026E-3</v>
      </c>
      <c r="C4" s="312">
        <v>-3.4130330962073567E-2</v>
      </c>
      <c r="D4" s="312">
        <v>-4.0318354470303457E-2</v>
      </c>
      <c r="E4" s="312">
        <v>-2.6116469312382228E-2</v>
      </c>
      <c r="G4" s="306"/>
      <c r="H4" s="307"/>
      <c r="I4" s="307"/>
      <c r="J4" s="307"/>
      <c r="K4" s="307"/>
      <c r="L4" s="307"/>
      <c r="M4" s="307"/>
      <c r="N4" s="307"/>
      <c r="O4" s="307"/>
    </row>
    <row r="5" spans="1:15" x14ac:dyDescent="0.2">
      <c r="A5" s="249" t="s">
        <v>177</v>
      </c>
      <c r="B5" s="312">
        <v>-1.122325511283935E-2</v>
      </c>
      <c r="C5" s="312">
        <v>-0.1508734029974079</v>
      </c>
      <c r="D5" s="312">
        <v>-0.17191933348883748</v>
      </c>
      <c r="E5" s="312">
        <v>-0.10883406589875903</v>
      </c>
      <c r="G5" s="306"/>
      <c r="H5" s="307"/>
      <c r="I5" s="307"/>
      <c r="J5" s="307"/>
      <c r="K5" s="307"/>
      <c r="L5" s="307"/>
      <c r="M5" s="307"/>
      <c r="N5" s="307"/>
      <c r="O5" s="307"/>
    </row>
    <row r="6" spans="1:15" x14ac:dyDescent="0.2">
      <c r="A6" s="249" t="s">
        <v>178</v>
      </c>
      <c r="B6" s="312">
        <v>-3.5452359106478683E-2</v>
      </c>
      <c r="C6" s="312">
        <v>-5.5451374917236916E-2</v>
      </c>
      <c r="D6" s="312">
        <v>-3.5001567220228819E-2</v>
      </c>
      <c r="E6" s="312">
        <v>-2.6051615578147242E-2</v>
      </c>
      <c r="G6" s="306"/>
      <c r="H6" s="307"/>
      <c r="I6" s="307"/>
      <c r="J6" s="307"/>
      <c r="K6" s="307"/>
      <c r="L6" s="307"/>
      <c r="M6" s="307"/>
      <c r="N6" s="307"/>
      <c r="O6" s="307"/>
    </row>
    <row r="7" spans="1:15" x14ac:dyDescent="0.2">
      <c r="A7" s="249" t="s">
        <v>41</v>
      </c>
      <c r="B7" s="312">
        <v>-7.6381852249965881E-2</v>
      </c>
      <c r="C7" s="312">
        <v>-9.9454018115690379E-2</v>
      </c>
      <c r="D7" s="312">
        <v>-5.4224656007826569E-2</v>
      </c>
      <c r="E7" s="312">
        <v>-3.8788706373632929E-2</v>
      </c>
    </row>
    <row r="8" spans="1:15" x14ac:dyDescent="0.2">
      <c r="A8" s="249" t="s">
        <v>179</v>
      </c>
      <c r="B8" s="312">
        <v>-9.6146330231105526E-2</v>
      </c>
      <c r="C8" s="312">
        <v>-0.22018153997264336</v>
      </c>
      <c r="D8" s="312">
        <v>-0.117543203919105</v>
      </c>
      <c r="E8" s="312">
        <v>-5.7034248954583047E-2</v>
      </c>
    </row>
    <row r="9" spans="1:15" x14ac:dyDescent="0.2">
      <c r="A9" s="249" t="s">
        <v>180</v>
      </c>
      <c r="B9" s="312">
        <v>-2.7328120583780324E-2</v>
      </c>
      <c r="C9" s="312">
        <v>-1.4711982959337741E-2</v>
      </c>
      <c r="D9" s="312">
        <v>4.4082556673422993E-2</v>
      </c>
      <c r="E9" s="312">
        <v>7.5308896209596604E-2</v>
      </c>
    </row>
    <row r="10" spans="1:15" ht="13.5" thickBot="1" x14ac:dyDescent="0.25">
      <c r="A10" s="308" t="s">
        <v>181</v>
      </c>
      <c r="B10" s="313">
        <v>-6.3367950712484205E-3</v>
      </c>
      <c r="C10" s="313">
        <v>-2.3851726866316841E-2</v>
      </c>
      <c r="D10" s="313">
        <v>-1.9501741175381331E-2</v>
      </c>
      <c r="E10" s="313">
        <v>-1.0633274577486274E-2</v>
      </c>
    </row>
    <row r="11" spans="1:15" x14ac:dyDescent="0.2">
      <c r="A11" s="309" t="s">
        <v>182</v>
      </c>
      <c r="B11" s="314">
        <f>SUM(B4:B10)</f>
        <v>-0.25511071898901067</v>
      </c>
      <c r="C11" s="314">
        <f>SUM(C4:C10)</f>
        <v>-0.59865437679070677</v>
      </c>
      <c r="D11" s="314">
        <f>SUM(D4:D10)</f>
        <v>-0.3944262996082597</v>
      </c>
      <c r="E11" s="314">
        <f>SUM(E4:E10)</f>
        <v>-0.19214948448539415</v>
      </c>
    </row>
    <row r="12" spans="1:15" x14ac:dyDescent="0.2">
      <c r="D12" s="283" t="s">
        <v>61</v>
      </c>
      <c r="E12" s="283"/>
    </row>
    <row r="14" spans="1:15" x14ac:dyDescent="0.2">
      <c r="A14" s="144" t="s">
        <v>183</v>
      </c>
    </row>
    <row r="29" spans="1:21" x14ac:dyDescent="0.2">
      <c r="D29" s="283" t="s">
        <v>61</v>
      </c>
      <c r="E29" s="283"/>
    </row>
    <row r="31" spans="1:21" ht="13.5" thickBot="1" x14ac:dyDescent="0.25">
      <c r="A31" s="322" t="s">
        <v>209</v>
      </c>
      <c r="B31" s="322"/>
      <c r="C31" s="322"/>
      <c r="D31" s="322"/>
      <c r="E31" s="322"/>
      <c r="F31" s="322"/>
      <c r="G31" s="322"/>
      <c r="H31" s="322"/>
      <c r="I31" s="322"/>
      <c r="J31" s="322"/>
      <c r="K31" s="322"/>
      <c r="L31" s="322"/>
      <c r="M31" s="322"/>
      <c r="N31" s="322"/>
      <c r="O31" s="322"/>
      <c r="P31" s="322"/>
      <c r="Q31" s="322"/>
      <c r="R31" s="322"/>
      <c r="S31" s="322"/>
      <c r="T31" s="322"/>
      <c r="U31" s="322"/>
    </row>
    <row r="32" spans="1:21" s="309" customFormat="1" x14ac:dyDescent="0.2">
      <c r="A32" s="319"/>
      <c r="B32" s="321" t="s">
        <v>189</v>
      </c>
      <c r="C32" s="321" t="s">
        <v>190</v>
      </c>
      <c r="D32" s="321" t="s">
        <v>191</v>
      </c>
      <c r="E32" s="321" t="s">
        <v>192</v>
      </c>
      <c r="F32" s="321" t="s">
        <v>193</v>
      </c>
      <c r="G32" s="321" t="s">
        <v>194</v>
      </c>
      <c r="H32" s="321" t="s">
        <v>195</v>
      </c>
      <c r="I32" s="321" t="s">
        <v>196</v>
      </c>
      <c r="J32" s="321" t="s">
        <v>197</v>
      </c>
      <c r="K32" s="321" t="s">
        <v>198</v>
      </c>
      <c r="L32" s="321" t="s">
        <v>199</v>
      </c>
      <c r="M32" s="321" t="s">
        <v>200</v>
      </c>
      <c r="N32" s="321" t="s">
        <v>201</v>
      </c>
      <c r="O32" s="321" t="s">
        <v>202</v>
      </c>
      <c r="P32" s="321" t="s">
        <v>203</v>
      </c>
      <c r="Q32" s="321" t="s">
        <v>204</v>
      </c>
      <c r="R32" s="321" t="s">
        <v>205</v>
      </c>
      <c r="S32" s="321" t="s">
        <v>206</v>
      </c>
      <c r="T32" s="321" t="s">
        <v>207</v>
      </c>
      <c r="U32" s="321" t="s">
        <v>208</v>
      </c>
    </row>
    <row r="33" spans="1:21" ht="13.5" x14ac:dyDescent="0.25">
      <c r="A33" s="249" t="s">
        <v>184</v>
      </c>
      <c r="B33" s="320">
        <v>-1.4918234864249591E-2</v>
      </c>
      <c r="C33" s="318">
        <v>-2.1718453606549559E-2</v>
      </c>
      <c r="D33" s="318">
        <v>-1.599216595004993E-2</v>
      </c>
      <c r="E33" s="318">
        <v>-1.7055517145729837E-2</v>
      </c>
      <c r="F33" s="318">
        <v>-8.3413105080403227E-3</v>
      </c>
      <c r="G33" s="318">
        <v>5.695028443139627E-3</v>
      </c>
      <c r="H33" s="318">
        <v>2.6780389437700336E-2</v>
      </c>
      <c r="I33" s="318">
        <v>6.8272642169359798E-2</v>
      </c>
      <c r="J33" s="318">
        <v>3.6145901335290276E-2</v>
      </c>
      <c r="K33" s="318">
        <v>-1.1523331621580368E-2</v>
      </c>
      <c r="L33" s="318">
        <v>6.9445297581998133E-3</v>
      </c>
      <c r="M33" s="311">
        <v>6.4988080827195205E-3</v>
      </c>
      <c r="N33" s="311">
        <v>3.4130540110703933E-3</v>
      </c>
      <c r="O33" s="311">
        <v>-9.8837786616901013E-3</v>
      </c>
      <c r="P33" s="311">
        <v>-1.6974559927040112E-2</v>
      </c>
      <c r="Q33" s="311">
        <v>-1.2842035882009901E-2</v>
      </c>
      <c r="R33" s="311">
        <v>-2.5745856298099667E-2</v>
      </c>
      <c r="S33" s="311">
        <v>-1.1663139887669871E-2</v>
      </c>
      <c r="T33" s="311">
        <v>4.5946830423027052E-4</v>
      </c>
      <c r="U33" s="311">
        <v>1.9448562812570458E-2</v>
      </c>
    </row>
    <row r="34" spans="1:21" x14ac:dyDescent="0.2">
      <c r="A34" s="316" t="s">
        <v>185</v>
      </c>
      <c r="B34" s="311">
        <v>2.8809169990040573E-4</v>
      </c>
      <c r="C34" s="311">
        <v>1.7628319367997136E-3</v>
      </c>
      <c r="D34" s="311">
        <v>7.9607067970997036E-3</v>
      </c>
      <c r="E34" s="311">
        <v>-1.4126439941000157E-2</v>
      </c>
      <c r="F34" s="311">
        <v>-1.9715278214599508E-2</v>
      </c>
      <c r="G34" s="311">
        <v>-1.4470019337899487E-2</v>
      </c>
      <c r="H34" s="311">
        <v>-7.339490454199904E-3</v>
      </c>
      <c r="I34" s="311">
        <v>2.1573407818500812E-2</v>
      </c>
      <c r="J34" s="311">
        <v>4.4804857744599857E-2</v>
      </c>
      <c r="K34" s="311">
        <v>1.634895265259928E-2</v>
      </c>
      <c r="L34" s="311">
        <v>8.010023198901095E-3</v>
      </c>
      <c r="M34" s="311">
        <v>-3.6918934117995406E-3</v>
      </c>
      <c r="N34" s="311">
        <v>-1.1710806844499544E-2</v>
      </c>
      <c r="O34" s="311">
        <v>-2.5656604898099289E-2</v>
      </c>
      <c r="P34" s="311">
        <v>-1.3329776155700301E-2</v>
      </c>
      <c r="Q34" s="311">
        <v>-6.4422831622987786E-3</v>
      </c>
      <c r="R34" s="311">
        <v>2.7456473046996166E-3</v>
      </c>
      <c r="S34" s="311">
        <v>2.7366470903995577E-3</v>
      </c>
      <c r="T34" s="311">
        <v>4.0532637937005234E-3</v>
      </c>
      <c r="U34" s="311">
        <v>6.198162382700545E-3</v>
      </c>
    </row>
    <row r="35" spans="1:21" x14ac:dyDescent="0.2">
      <c r="A35" s="316" t="s">
        <v>186</v>
      </c>
      <c r="B35" s="311">
        <v>-3.7579677940435374E-2</v>
      </c>
      <c r="C35" s="311">
        <v>-1.9973239420700395E-2</v>
      </c>
      <c r="D35" s="311">
        <v>-4.8083199536232968E-3</v>
      </c>
      <c r="E35" s="311">
        <v>-3.9393750781222536E-3</v>
      </c>
      <c r="F35" s="311">
        <v>-2.9660861110372139E-3</v>
      </c>
      <c r="G35" s="311">
        <v>-3.7014387429598727E-2</v>
      </c>
      <c r="H35" s="311">
        <v>-2.4823128058416799E-2</v>
      </c>
      <c r="I35" s="311">
        <v>1.0842317841218474E-2</v>
      </c>
      <c r="J35" s="311">
        <v>1.7143336245588614E-2</v>
      </c>
      <c r="K35" s="311">
        <v>-8.0961609323193073E-2</v>
      </c>
      <c r="L35" s="311">
        <v>-9.5995251796523462E-3</v>
      </c>
      <c r="M35" s="311">
        <v>-1.5998274138416591E-2</v>
      </c>
      <c r="N35" s="311">
        <v>-1.4972541376167214E-2</v>
      </c>
      <c r="O35" s="311">
        <v>-1.9332294598937594E-2</v>
      </c>
      <c r="P35" s="311">
        <v>-1.1028190865141951E-2</v>
      </c>
      <c r="Q35" s="311">
        <v>-7.5773592013739233E-3</v>
      </c>
      <c r="R35" s="311">
        <v>-6.5789794739572471E-3</v>
      </c>
      <c r="S35" s="311">
        <v>3.3708728884853656E-3</v>
      </c>
      <c r="T35" s="311">
        <v>7.2833982775701855E-3</v>
      </c>
      <c r="U35" s="311">
        <v>1.845648613928752E-2</v>
      </c>
    </row>
    <row r="36" spans="1:21" x14ac:dyDescent="0.2">
      <c r="A36" s="316" t="s">
        <v>187</v>
      </c>
      <c r="B36" s="311">
        <v>9.5680484039784002E-3</v>
      </c>
      <c r="C36" s="311">
        <v>-1.0483692920668201E-2</v>
      </c>
      <c r="D36" s="311">
        <v>-1.95771433114337E-2</v>
      </c>
      <c r="E36" s="311">
        <v>-1.31638669499434E-2</v>
      </c>
      <c r="F36" s="311">
        <v>-2.88918776266156E-2</v>
      </c>
      <c r="G36" s="311">
        <v>1.17682849972737E-2</v>
      </c>
      <c r="H36" s="311">
        <v>1.42861699379448E-2</v>
      </c>
      <c r="I36" s="311">
        <v>2.55950402025781E-2</v>
      </c>
      <c r="J36" s="311">
        <v>5.2904229943084802E-2</v>
      </c>
      <c r="K36" s="311">
        <v>1.96944949315511E-2</v>
      </c>
      <c r="L36" s="311">
        <v>-1.0331670286515901E-2</v>
      </c>
      <c r="M36" s="311">
        <v>-2.8803197920490502E-3</v>
      </c>
      <c r="N36" s="311">
        <v>-6.7137276839481699E-3</v>
      </c>
      <c r="O36" s="311">
        <v>-2.5150032784879699E-2</v>
      </c>
      <c r="P36" s="311">
        <v>-2.1917554175781801E-2</v>
      </c>
      <c r="Q36" s="311">
        <v>-1.0735210993708199E-2</v>
      </c>
      <c r="R36" s="311">
        <v>8.0354088765321996E-4</v>
      </c>
      <c r="S36" s="311">
        <v>2.64816643972665E-3</v>
      </c>
      <c r="T36" s="311">
        <v>5.9624051991553602E-3</v>
      </c>
      <c r="U36" s="311">
        <v>6.61471557977222E-3</v>
      </c>
    </row>
    <row r="37" spans="1:21" x14ac:dyDescent="0.2">
      <c r="A37" s="317" t="s">
        <v>188</v>
      </c>
      <c r="B37" s="311">
        <v>-1.7044968557226502E-2</v>
      </c>
      <c r="C37" s="311">
        <v>-1.46801540533617E-2</v>
      </c>
      <c r="D37" s="311">
        <v>-9.3797555318269193E-3</v>
      </c>
      <c r="E37" s="311">
        <v>-6.6399180718630501E-3</v>
      </c>
      <c r="F37" s="311">
        <v>-1.1157642639722101E-2</v>
      </c>
      <c r="G37" s="311">
        <v>-1.7795407385142001E-2</v>
      </c>
      <c r="H37" s="311">
        <v>-1.0306257710426502E-2</v>
      </c>
      <c r="I37" s="311">
        <v>1.48068627275036E-2</v>
      </c>
      <c r="J37" s="311">
        <v>2.6675892115425801E-2</v>
      </c>
      <c r="K37" s="311">
        <v>-4.0914285573130302E-2</v>
      </c>
      <c r="L37" s="311">
        <v>-8.9198060088492397E-3</v>
      </c>
      <c r="M37" s="311">
        <v>-1.0286734354662199E-2</v>
      </c>
      <c r="N37" s="311">
        <v>-1.09275429240353E-2</v>
      </c>
      <c r="O37" s="311">
        <v>-1.9307726393800198E-2</v>
      </c>
      <c r="P37" s="311">
        <v>-1.35047473520131E-2</v>
      </c>
      <c r="Q37" s="311">
        <v>-7.8665962538484596E-3</v>
      </c>
      <c r="R37" s="311">
        <v>-3.4554704520820801E-3</v>
      </c>
      <c r="S37" s="311">
        <v>2.7985881608725499E-3</v>
      </c>
      <c r="T37" s="311">
        <v>6.1482220486228896E-3</v>
      </c>
      <c r="U37" s="311">
        <v>1.2826668652167601E-2</v>
      </c>
    </row>
    <row r="38" spans="1:21" ht="13.5" x14ac:dyDescent="0.25">
      <c r="A38" s="219"/>
      <c r="T38" s="283" t="s">
        <v>61</v>
      </c>
      <c r="U38" s="283"/>
    </row>
    <row r="39" spans="1:21" ht="13.5" x14ac:dyDescent="0.25">
      <c r="A39" s="219"/>
    </row>
    <row r="40" spans="1:21" x14ac:dyDescent="0.2">
      <c r="A40" s="144" t="s">
        <v>209</v>
      </c>
    </row>
    <row r="41" spans="1:21" ht="13.5" x14ac:dyDescent="0.25">
      <c r="A41" s="315"/>
    </row>
    <row r="42" spans="1:21" ht="13.5" x14ac:dyDescent="0.25">
      <c r="A42" s="219"/>
    </row>
    <row r="43" spans="1:21" ht="13.5" x14ac:dyDescent="0.25">
      <c r="A43" s="315"/>
    </row>
    <row r="59" spans="5:6" x14ac:dyDescent="0.2">
      <c r="E59" s="283" t="s">
        <v>61</v>
      </c>
      <c r="F59" s="283"/>
    </row>
  </sheetData>
  <mergeCells count="6">
    <mergeCell ref="E59:F59"/>
    <mergeCell ref="A1:E1"/>
    <mergeCell ref="A31:U31"/>
    <mergeCell ref="D12:E12"/>
    <mergeCell ref="D29:E29"/>
    <mergeCell ref="T38:U3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showGridLines="0" workbookViewId="0"/>
  </sheetViews>
  <sheetFormatPr defaultRowHeight="16.5" x14ac:dyDescent="0.3"/>
  <cols>
    <col min="1" max="1" width="62.85546875" style="42" customWidth="1"/>
    <col min="2" max="2" width="7.5703125" style="41" customWidth="1"/>
    <col min="3" max="3" width="9.7109375" style="42" customWidth="1"/>
    <col min="4" max="4" width="9.140625" style="42" customWidth="1"/>
    <col min="5" max="5" width="9.5703125" style="42" customWidth="1"/>
    <col min="6" max="16384" width="9.140625" style="42"/>
  </cols>
  <sheetData>
    <row r="1" spans="1:7" ht="17.25" thickBot="1" x14ac:dyDescent="0.35">
      <c r="A1" s="155" t="s">
        <v>121</v>
      </c>
      <c r="B1" s="156"/>
      <c r="C1" s="156"/>
      <c r="D1" s="156"/>
      <c r="E1" s="156"/>
    </row>
    <row r="2" spans="1:7" x14ac:dyDescent="0.3">
      <c r="A2" s="152"/>
      <c r="B2" s="153">
        <v>2012</v>
      </c>
      <c r="C2" s="154">
        <f>'[2]Data SK June 2016'!C2</f>
        <v>2013</v>
      </c>
      <c r="D2" s="154">
        <f>'[2]Data SK June 2016'!D2</f>
        <v>2014</v>
      </c>
      <c r="E2" s="154">
        <f>'[2]Data SK June 2016'!E2</f>
        <v>2015</v>
      </c>
    </row>
    <row r="3" spans="1:7" x14ac:dyDescent="0.3">
      <c r="A3" s="1" t="str">
        <f>'[2]Data SK June 2016'!A3</f>
        <v>Makroekonomické predpoklady</v>
      </c>
      <c r="B3" s="247"/>
      <c r="C3" s="247"/>
      <c r="D3" s="247"/>
      <c r="E3" s="247"/>
    </row>
    <row r="4" spans="1:7" x14ac:dyDescent="0.3">
      <c r="A4" s="2" t="str">
        <f>'[2]Data SK June 2016'!A4</f>
        <v>Potencialny rast HDP (v %)</v>
      </c>
      <c r="B4" s="3">
        <v>2.2961613095515032</v>
      </c>
      <c r="C4" s="3">
        <v>1.9829578455823782</v>
      </c>
      <c r="D4" s="3">
        <v>2.272223145213359</v>
      </c>
      <c r="E4" s="3">
        <v>2.8278084687827665</v>
      </c>
    </row>
    <row r="5" spans="1:7" x14ac:dyDescent="0.3">
      <c r="A5" s="2" t="str">
        <f>'[2]Data SK June 2016'!A5</f>
        <v>HDP deflátor (v %)</v>
      </c>
      <c r="B5" s="3">
        <v>1.2631714817151973</v>
      </c>
      <c r="C5" s="3">
        <v>0.51865972929958648</v>
      </c>
      <c r="D5" s="3">
        <v>-0.18059182645471239</v>
      </c>
      <c r="E5" s="3">
        <v>-0.26322562211781309</v>
      </c>
    </row>
    <row r="6" spans="1:7" x14ac:dyDescent="0.3">
      <c r="A6" s="4" t="str">
        <f>'[2]Data SK June 2016'!A6</f>
        <v>HDP v bežných cenách</v>
      </c>
      <c r="B6" s="5">
        <v>72420.003000000012</v>
      </c>
      <c r="C6" s="5">
        <v>73835.088000000003</v>
      </c>
      <c r="D6" s="5">
        <v>75560.456999999995</v>
      </c>
      <c r="E6" s="5">
        <v>78070.812999999995</v>
      </c>
    </row>
    <row r="7" spans="1:7" x14ac:dyDescent="0.3">
      <c r="A7" s="1" t="str">
        <f>'[2]Data SK June 2016'!A7</f>
        <v>Výdavkový agregát</v>
      </c>
      <c r="B7" s="248"/>
      <c r="C7" s="248"/>
      <c r="D7" s="248"/>
      <c r="E7" s="248"/>
    </row>
    <row r="8" spans="1:7" x14ac:dyDescent="0.3">
      <c r="A8" s="6" t="str">
        <f>'[2]Data SK June 2016'!A8</f>
        <v>1. Celkové výdavky</v>
      </c>
      <c r="B8" s="7">
        <v>29348.931</v>
      </c>
      <c r="C8" s="7">
        <v>30488.806</v>
      </c>
      <c r="D8" s="7">
        <v>31682.455999999998</v>
      </c>
      <c r="E8" s="7">
        <v>35622.269999999997</v>
      </c>
    </row>
    <row r="9" spans="1:7" x14ac:dyDescent="0.3">
      <c r="A9" s="8" t="str">
        <f>'[2]Data SK June 2016'!A9</f>
        <v>2.   Úrokové náklady</v>
      </c>
      <c r="B9" s="9">
        <v>1280.307</v>
      </c>
      <c r="C9" s="9">
        <v>1383.7860000000001</v>
      </c>
      <c r="D9" s="9">
        <v>1440.9639999999999</v>
      </c>
      <c r="E9" s="9">
        <v>1392.98</v>
      </c>
    </row>
    <row r="10" spans="1:7" x14ac:dyDescent="0.3">
      <c r="A10" s="10" t="str">
        <f>'[2]Data SK June 2016'!A10</f>
        <v>3.   Výdavky kryté EÚ zdrojmi (celkové)</v>
      </c>
      <c r="B10" s="9">
        <f>E44</f>
        <v>805.40599999999972</v>
      </c>
      <c r="C10" s="9">
        <f>F44</f>
        <v>808.67399999999975</v>
      </c>
      <c r="D10" s="9">
        <f>G44</f>
        <v>1194.6710000000003</v>
      </c>
      <c r="E10" s="9">
        <f>H44</f>
        <v>2599.5309999999999</v>
      </c>
    </row>
    <row r="11" spans="1:7" x14ac:dyDescent="0.3">
      <c r="A11" s="11" t="str">
        <f>'[2]Data SK June 2016'!A11</f>
        <v>z toho: Výdavky kryté EÚ zdrojmi (kapitálové)</v>
      </c>
      <c r="B11" s="5">
        <f>E45</f>
        <v>637.10900000000004</v>
      </c>
      <c r="C11" s="5">
        <f t="shared" ref="C11:E11" si="0">F45</f>
        <v>575.52499999999998</v>
      </c>
      <c r="D11" s="5">
        <f t="shared" si="0"/>
        <v>1097.02</v>
      </c>
      <c r="E11" s="5">
        <f t="shared" si="0"/>
        <v>2156.5309999999999</v>
      </c>
    </row>
    <row r="12" spans="1:7" x14ac:dyDescent="0.3">
      <c r="A12" s="11" t="str">
        <f>'[2]Data SK June 2016'!A12</f>
        <v>4.   Kapitálové výdavky kryté národnými zdrojmi</v>
      </c>
      <c r="B12" s="9">
        <f>E46</f>
        <v>1751.6010000000001</v>
      </c>
      <c r="C12" s="9">
        <f t="shared" ref="C12:E12" si="1">F46</f>
        <v>1794.2509999999997</v>
      </c>
      <c r="D12" s="9">
        <f t="shared" si="1"/>
        <v>1795.875</v>
      </c>
      <c r="E12" s="9">
        <f t="shared" si="1"/>
        <v>2674.7690000000002</v>
      </c>
    </row>
    <row r="13" spans="1:7" x14ac:dyDescent="0.3">
      <c r="A13" s="11" t="str">
        <f>'[2]Data SK June 2016'!A13</f>
        <v>5.   Vyhladené kapitálové výdavky (nár. zdroje 4-ročný pohyblivý priemer)</v>
      </c>
      <c r="B13" s="9">
        <f>AVERAGE(B46:E46)</f>
        <v>1846.5235405559997</v>
      </c>
      <c r="C13" s="9">
        <f>AVERAGE(C46:F46)</f>
        <v>1828.4589500000002</v>
      </c>
      <c r="D13" s="9">
        <f>AVERAGE(D46:G46)</f>
        <v>1819.45525</v>
      </c>
      <c r="E13" s="9">
        <f>AVERAGE(E46:H46)</f>
        <v>2004.124</v>
      </c>
      <c r="G13" s="242"/>
    </row>
    <row r="14" spans="1:7" x14ac:dyDescent="0.3">
      <c r="A14" s="11" t="str">
        <f>'[2]Data SK June 2016'!A14</f>
        <v>6.   Cyklické výdavky na dávky v nezamestnanosti</v>
      </c>
      <c r="B14" s="9">
        <v>4.5891071807019594</v>
      </c>
      <c r="C14" s="9">
        <v>17.610943521264684</v>
      </c>
      <c r="D14" s="9">
        <v>14.735604755075304</v>
      </c>
      <c r="E14" s="9">
        <v>8.3014839111658478</v>
      </c>
    </row>
    <row r="15" spans="1:7" x14ac:dyDescent="0.3">
      <c r="A15" s="11" t="str">
        <f>'[2]Data SK June 2016'!A15</f>
        <v xml:space="preserve">7.   Výdavky plne kryté automatickým zvýšením príjmov </v>
      </c>
      <c r="B15" s="9">
        <v>0</v>
      </c>
      <c r="C15" s="9">
        <v>0</v>
      </c>
      <c r="D15" s="9">
        <v>0</v>
      </c>
      <c r="E15" s="9">
        <v>0</v>
      </c>
    </row>
    <row r="16" spans="1:7" x14ac:dyDescent="0.3">
      <c r="A16" s="11" t="str">
        <f>'[2]Data SK June 2016'!A16</f>
        <v>8.  Vplyv zaradenia nových subjektov do sektora verejnej správy (DP)</v>
      </c>
      <c r="B16" s="9">
        <v>0</v>
      </c>
      <c r="C16" s="9">
        <v>0</v>
      </c>
      <c r="D16" s="9">
        <v>192.62385475507836</v>
      </c>
      <c r="E16" s="9">
        <v>184.91623391116809</v>
      </c>
    </row>
    <row r="17" spans="1:7" ht="17.25" thickBot="1" x14ac:dyDescent="0.35">
      <c r="A17" s="12" t="str">
        <f>'[2]Data SK June 2016'!A17</f>
        <v>9. Primárny výdavkový agregát (1-2-3+4-5-6-7-8)</v>
      </c>
      <c r="B17" s="13">
        <f>B8-B9-B10-B12-B14-B15+B13-B16</f>
        <v>27353.551433375302</v>
      </c>
      <c r="C17" s="13">
        <f>C8-C9-C10-C12-C14-C15+C13-C16</f>
        <v>28312.943006478738</v>
      </c>
      <c r="D17" s="13">
        <f>D8-D9-D10-D12-D14-D15+D13-D16</f>
        <v>28863.041790489842</v>
      </c>
      <c r="E17" s="13">
        <f>E8-E9-E10-E12-E14-E15+E13-E16</f>
        <v>30765.896282177659</v>
      </c>
    </row>
    <row r="18" spans="1:7" x14ac:dyDescent="0.3">
      <c r="A18" s="14" t="str">
        <f>'[2]Data SK June 2016'!A18</f>
        <v>10. Medziročná zmena primárneho výdavkového agregátu (9t-9t-1)</v>
      </c>
      <c r="B18" s="9"/>
      <c r="C18" s="9">
        <f>C17-B17</f>
        <v>959.3915731034358</v>
      </c>
      <c r="D18" s="9">
        <f>D17-C17</f>
        <v>550.09878401110473</v>
      </c>
      <c r="E18" s="9">
        <f>E17-D17</f>
        <v>1902.8544916878163</v>
      </c>
    </row>
    <row r="19" spans="1:7" x14ac:dyDescent="0.3">
      <c r="A19" s="15" t="str">
        <f>'[2]Data SK June 2016'!A19</f>
        <v>11. Zmena v príjmoch z titulu diskrečných príjmových opatrení</v>
      </c>
      <c r="B19" s="9"/>
      <c r="C19" s="9">
        <f>DRM!G37</f>
        <v>1137.3090351668998</v>
      </c>
      <c r="D19" s="9">
        <f>DRM!H37</f>
        <v>-29.897010648782615</v>
      </c>
      <c r="E19" s="9">
        <f>DRM!I37</f>
        <v>96.789812827432414</v>
      </c>
      <c r="G19" s="242"/>
    </row>
    <row r="20" spans="1:7" x14ac:dyDescent="0.3">
      <c r="A20" s="16" t="str">
        <f>'[2]Data SK June 2016'!A20</f>
        <v>12. Nominálny rast agregátu výdavkov očisteného o príjmové opatrenia ((10t-11t)/9t-1)</v>
      </c>
      <c r="B20" s="17"/>
      <c r="C20" s="17">
        <f>((C18-C19)/B17)*100</f>
        <v>-0.65043642503539356</v>
      </c>
      <c r="D20" s="17">
        <f>((D18-D19)/C17)*100</f>
        <v>2.0485182148926349</v>
      </c>
      <c r="E20" s="17">
        <f>((E18-E19)/D17)*100</f>
        <v>6.2573608560393277</v>
      </c>
    </row>
    <row r="21" spans="1:7" x14ac:dyDescent="0.3">
      <c r="A21" s="16" t="str">
        <f>'[2]Data SK June 2016'!A21</f>
        <v>13. Medziročná zmena deflátoru</v>
      </c>
      <c r="B21" s="17"/>
      <c r="C21" s="17">
        <f>C5</f>
        <v>0.51865972929958648</v>
      </c>
      <c r="D21" s="17">
        <f>D5</f>
        <v>-0.18059182645471239</v>
      </c>
      <c r="E21" s="17">
        <f>E5</f>
        <v>-0.26322562211781309</v>
      </c>
    </row>
    <row r="22" spans="1:7" x14ac:dyDescent="0.3">
      <c r="A22" s="18" t="str">
        <f>'[2]Data SK June 2016'!A22</f>
        <v>14. Reálny rast agregátu výdavkov očist. o príjmové opatrenia (12-13)</v>
      </c>
      <c r="B22" s="19"/>
      <c r="C22" s="19">
        <f>C20-C21</f>
        <v>-1.16909615433498</v>
      </c>
      <c r="D22" s="19">
        <f>D20-D21</f>
        <v>2.2291100413473472</v>
      </c>
      <c r="E22" s="19">
        <f>E20-E21</f>
        <v>6.5205864781571403</v>
      </c>
    </row>
    <row r="23" spans="1:7" x14ac:dyDescent="0.3">
      <c r="A23" s="20" t="str">
        <f>'[2]Data SK June 2016'!A23</f>
        <v>15. Miera potencionálneho rastu HDP</v>
      </c>
      <c r="B23" s="17"/>
      <c r="C23" s="17">
        <f>C4</f>
        <v>1.9829578455823782</v>
      </c>
      <c r="D23" s="17">
        <f>D4</f>
        <v>2.272223145213359</v>
      </c>
      <c r="E23" s="17">
        <f>E4</f>
        <v>2.8278084687827665</v>
      </c>
    </row>
    <row r="24" spans="1:7" ht="17.25" thickBot="1" x14ac:dyDescent="0.35">
      <c r="A24" s="16" t="str">
        <f>'[2]Data SK June 2016'!A24</f>
        <v>16. Zníženie rastu výdavkov - zmena štrukturálneho salda/ ((1t-1- 2t-1)/HDPt-1)</v>
      </c>
      <c r="B24" s="17"/>
      <c r="C24" s="17">
        <f>IF($B$24=FALSE,C37/((B8-B9)/B6),L42/((B8-B9)/B6))</f>
        <v>1.9088501954964354</v>
      </c>
      <c r="D24" s="17">
        <f>IF($B$24=FALSE,D37/((C8-C9)/C6),M42/((C8-C9)/C6))</f>
        <v>1.8768489681701319</v>
      </c>
      <c r="E24" s="17">
        <f>IF($B$24=FALSE,E37/((D8-D9)/D6),N42/((D8-D9)/D6))</f>
        <v>1.8485269784645084</v>
      </c>
    </row>
    <row r="25" spans="1:7" x14ac:dyDescent="0.3">
      <c r="A25" s="21" t="str">
        <f>'[2]Data SK June 2016'!A25</f>
        <v>17. Výdavkové pravidlo (15-16)</v>
      </c>
      <c r="B25" s="22"/>
      <c r="C25" s="22">
        <f>C23-C24</f>
        <v>7.4107650085942778E-2</v>
      </c>
      <c r="D25" s="22">
        <f>D23-D24</f>
        <v>0.39537417704322708</v>
      </c>
      <c r="E25" s="22">
        <f>E23-E24</f>
        <v>0.97928149031825806</v>
      </c>
    </row>
    <row r="26" spans="1:7" x14ac:dyDescent="0.3">
      <c r="A26" s="23" t="s">
        <v>150</v>
      </c>
      <c r="B26" s="17"/>
      <c r="C26" s="24">
        <f>((C25-C22)/100*B17)/C6*100</f>
        <v>0.46056746362103013</v>
      </c>
      <c r="D26" s="192">
        <f>((D25-D22)/100*C17)/D6*100</f>
        <v>-0.68711150086054384</v>
      </c>
      <c r="E26" s="192">
        <f>((E25-E22)/100*D17)/E6*100</f>
        <v>-2.0486390661493874</v>
      </c>
    </row>
    <row r="27" spans="1:7" ht="17.25" thickBot="1" x14ac:dyDescent="0.35">
      <c r="A27" s="25" t="str">
        <f>'[2]Data SK June 2016'!A27</f>
        <v xml:space="preserve">19. Splnenie výdavkového benchmarku </v>
      </c>
      <c r="B27" s="26"/>
      <c r="C27" s="26" t="str">
        <f>IF(C26&gt;=0,"áno","nie")</f>
        <v>áno</v>
      </c>
      <c r="D27" s="26" t="str">
        <f t="shared" ref="D27:E27" si="2">IF(D26&gt;=0,"áno","nie")</f>
        <v>nie</v>
      </c>
      <c r="E27" s="26" t="str">
        <f t="shared" si="2"/>
        <v>nie</v>
      </c>
      <c r="G27" s="242"/>
    </row>
    <row r="28" spans="1:7" x14ac:dyDescent="0.3">
      <c r="A28" s="27" t="str">
        <f>'[2]Data SK June 2016'!A30</f>
        <v xml:space="preserve">Kumulatívna odchýlka od výdavkového pravidla t až t-2 (v % HDP) </v>
      </c>
      <c r="B28" s="36"/>
      <c r="C28" s="191"/>
      <c r="D28" s="191">
        <f>SUM(C26:D26)</f>
        <v>-0.22654403723951372</v>
      </c>
      <c r="E28" s="193">
        <f>SUM(C26:E26)</f>
        <v>-2.2751831033889012</v>
      </c>
      <c r="G28" s="242"/>
    </row>
    <row r="29" spans="1:7" x14ac:dyDescent="0.3">
      <c r="A29" s="27"/>
      <c r="B29" s="36"/>
      <c r="C29" s="29"/>
      <c r="D29" s="29"/>
      <c r="E29" s="29"/>
    </row>
    <row r="30" spans="1:7" x14ac:dyDescent="0.3">
      <c r="A30" s="30" t="str">
        <f>'[2]Data SK June 2016'!A32</f>
        <v xml:space="preserve"> Zohľadnenie dodatočných faktorov (v % HDP)</v>
      </c>
      <c r="B30" s="37"/>
      <c r="C30" s="29"/>
      <c r="D30" s="29"/>
      <c r="E30" s="29"/>
    </row>
    <row r="31" spans="1:7" x14ac:dyDescent="0.3">
      <c r="A31" s="31" t="s">
        <v>68</v>
      </c>
      <c r="B31" s="32"/>
      <c r="C31" s="32">
        <f>VP_faktory!B5</f>
        <v>0.29118946807512441</v>
      </c>
      <c r="D31" s="32">
        <f>VP_faktory!C5</f>
        <v>0.52143676155902552</v>
      </c>
      <c r="E31" s="32">
        <f>VP_faktory!D5</f>
        <v>0.14474039100886527</v>
      </c>
      <c r="G31" s="242"/>
    </row>
    <row r="32" spans="1:7" x14ac:dyDescent="0.3">
      <c r="A32" s="31" t="s">
        <v>162</v>
      </c>
      <c r="B32" s="32"/>
      <c r="C32" s="32">
        <f>VP_faktory!B6</f>
        <v>0.11081775332471108</v>
      </c>
      <c r="D32" s="32">
        <f>VP_faktory!C6</f>
        <v>0.20787340868885615</v>
      </c>
      <c r="E32" s="32">
        <f>VP_faktory!D6</f>
        <v>5.1412930543437256E-2</v>
      </c>
    </row>
    <row r="33" spans="1:8" ht="17.25" thickBot="1" x14ac:dyDescent="0.35">
      <c r="A33" s="31" t="s">
        <v>0</v>
      </c>
      <c r="B33" s="32"/>
      <c r="C33" s="252">
        <f>VP_faktory!B7</f>
        <v>0</v>
      </c>
      <c r="D33" s="252">
        <f>VP_faktory!C7</f>
        <v>3.9703306717692307E-3</v>
      </c>
      <c r="E33" s="252">
        <f>VP_faktory!D7</f>
        <v>0.48289493283488671</v>
      </c>
    </row>
    <row r="34" spans="1:8" x14ac:dyDescent="0.3">
      <c r="A34" s="21" t="str">
        <f>'[2]Data SK June 2016'!A36</f>
        <v>Odchýlka od výdavkového pravidla v % HDP - po zohľadnení dodatočných faktorov</v>
      </c>
      <c r="B34" s="22"/>
      <c r="C34" s="24">
        <f>C26+C31+C32+C33</f>
        <v>0.86257468502086565</v>
      </c>
      <c r="D34" s="192">
        <f t="shared" ref="D34:E34" si="3">D26+D31+D32+D33</f>
        <v>4.6169000059107054E-2</v>
      </c>
      <c r="E34" s="192">
        <f t="shared" si="3"/>
        <v>-1.369590811762198</v>
      </c>
    </row>
    <row r="35" spans="1:8" ht="17.25" thickBot="1" x14ac:dyDescent="0.35">
      <c r="A35" s="33" t="str">
        <f>'[2]Data SK June 2016'!A37</f>
        <v>Splnenie výdavkového benchmarku po zohľadnení dodatočných faktorov</v>
      </c>
      <c r="B35" s="26"/>
      <c r="C35" s="26" t="str">
        <f>IF(C34&gt;=0,"áno","nie")</f>
        <v>áno</v>
      </c>
      <c r="D35" s="26" t="str">
        <f t="shared" ref="D35:E35" si="4">IF(D34&gt;=0,"áno","nie")</f>
        <v>áno</v>
      </c>
      <c r="E35" s="26" t="str">
        <f t="shared" si="4"/>
        <v>nie</v>
      </c>
    </row>
    <row r="36" spans="1:8" x14ac:dyDescent="0.3">
      <c r="A36" s="27" t="str">
        <f>'[2]Data SK June 2016'!A38</f>
        <v>Kumulatívna odchýlka od výdavkového pravidla t až t-2 (v % HDP)</v>
      </c>
      <c r="B36" s="38"/>
      <c r="C36" s="191"/>
      <c r="D36" s="28">
        <f>SUM(C34:D34)</f>
        <v>0.90874368507997272</v>
      </c>
      <c r="E36" s="28">
        <f>SUM(C34:E34)</f>
        <v>-0.46084712668222527</v>
      </c>
    </row>
    <row r="37" spans="1:8" x14ac:dyDescent="0.3">
      <c r="A37" s="34" t="str">
        <f>'[2]Data SK June 2016'!A39</f>
        <v>p.m. požadovaná zmena ŠS na dosihanutie MTO 2017 (% HDP)</v>
      </c>
      <c r="B37" s="35"/>
      <c r="C37" s="32">
        <v>0.73983424731031744</v>
      </c>
      <c r="D37" s="32">
        <v>0.73983424731031744</v>
      </c>
      <c r="E37" s="32">
        <v>0.73983424731031744</v>
      </c>
    </row>
    <row r="38" spans="1:8" x14ac:dyDescent="0.3">
      <c r="B38" s="39"/>
      <c r="D38" s="283" t="s">
        <v>61</v>
      </c>
      <c r="E38" s="283"/>
    </row>
    <row r="39" spans="1:8" x14ac:dyDescent="0.3">
      <c r="B39" s="40"/>
    </row>
    <row r="40" spans="1:8" x14ac:dyDescent="0.3">
      <c r="B40" s="40"/>
    </row>
    <row r="41" spans="1:8" x14ac:dyDescent="0.3">
      <c r="B41" s="40"/>
    </row>
    <row r="42" spans="1:8" ht="17.25" thickBot="1" x14ac:dyDescent="0.35">
      <c r="A42" s="223" t="s">
        <v>164</v>
      </c>
      <c r="B42" s="224">
        <v>2009</v>
      </c>
      <c r="C42" s="224">
        <v>2010</v>
      </c>
      <c r="D42" s="224">
        <v>2011</v>
      </c>
      <c r="E42" s="224">
        <v>2012</v>
      </c>
      <c r="F42" s="224">
        <v>2013</v>
      </c>
      <c r="G42" s="224">
        <v>2014</v>
      </c>
      <c r="H42" s="224">
        <v>2015</v>
      </c>
    </row>
    <row r="43" spans="1:8" x14ac:dyDescent="0.3">
      <c r="A43" s="225" t="s">
        <v>151</v>
      </c>
      <c r="B43" s="228">
        <v>2394.127</v>
      </c>
      <c r="C43" s="228">
        <v>2352.2449999999999</v>
      </c>
      <c r="D43" s="228">
        <v>2583.7179999999998</v>
      </c>
      <c r="E43" s="228">
        <v>2388.71</v>
      </c>
      <c r="F43" s="228">
        <v>2369.7759999999998</v>
      </c>
      <c r="G43" s="228">
        <v>2892.895</v>
      </c>
      <c r="H43" s="228">
        <v>4831.3</v>
      </c>
    </row>
    <row r="44" spans="1:8" x14ac:dyDescent="0.3">
      <c r="A44" s="226" t="s">
        <v>152</v>
      </c>
      <c r="B44" s="228">
        <v>659.5220472200001</v>
      </c>
      <c r="C44" s="228">
        <v>650.44400000000007</v>
      </c>
      <c r="D44" s="228">
        <v>793.44200000000012</v>
      </c>
      <c r="E44" s="228">
        <v>805.40599999999972</v>
      </c>
      <c r="F44" s="228">
        <v>808.67399999999975</v>
      </c>
      <c r="G44" s="228">
        <v>1194.6710000000003</v>
      </c>
      <c r="H44" s="228">
        <v>2599.5309999999999</v>
      </c>
    </row>
    <row r="45" spans="1:8" x14ac:dyDescent="0.3">
      <c r="A45" s="226" t="s">
        <v>153</v>
      </c>
      <c r="B45" s="228">
        <v>527.61763777600015</v>
      </c>
      <c r="C45" s="228">
        <v>520.35520000000008</v>
      </c>
      <c r="D45" s="228">
        <v>647.62400000000002</v>
      </c>
      <c r="E45" s="228">
        <v>637.10900000000004</v>
      </c>
      <c r="F45" s="228">
        <v>575.52499999999998</v>
      </c>
      <c r="G45" s="228">
        <v>1097.02</v>
      </c>
      <c r="H45" s="228">
        <v>2156.5309999999999</v>
      </c>
    </row>
    <row r="46" spans="1:8" ht="17.25" thickBot="1" x14ac:dyDescent="0.35">
      <c r="A46" s="227" t="s">
        <v>154</v>
      </c>
      <c r="B46" s="229">
        <f>B43-B45</f>
        <v>1866.5093622239997</v>
      </c>
      <c r="C46" s="229">
        <f t="shared" ref="C46:H46" si="5">C43-C45</f>
        <v>1831.8897999999999</v>
      </c>
      <c r="D46" s="229">
        <f t="shared" si="5"/>
        <v>1936.0939999999998</v>
      </c>
      <c r="E46" s="229">
        <f t="shared" si="5"/>
        <v>1751.6010000000001</v>
      </c>
      <c r="F46" s="229">
        <f>F43-F45</f>
        <v>1794.2509999999997</v>
      </c>
      <c r="G46" s="229">
        <f t="shared" si="5"/>
        <v>1795.875</v>
      </c>
      <c r="H46" s="229">
        <f t="shared" si="5"/>
        <v>2674.7690000000002</v>
      </c>
    </row>
    <row r="47" spans="1:8" x14ac:dyDescent="0.3">
      <c r="G47" s="283" t="s">
        <v>155</v>
      </c>
      <c r="H47" s="283"/>
    </row>
    <row r="50" spans="2:2" x14ac:dyDescent="0.3">
      <c r="B50" s="42"/>
    </row>
    <row r="51" spans="2:2" x14ac:dyDescent="0.3">
      <c r="B51" s="42"/>
    </row>
    <row r="52" spans="2:2" x14ac:dyDescent="0.3">
      <c r="B52" s="42"/>
    </row>
    <row r="53" spans="2:2" x14ac:dyDescent="0.3">
      <c r="B53" s="42"/>
    </row>
    <row r="54" spans="2:2" x14ac:dyDescent="0.3">
      <c r="B54" s="42"/>
    </row>
    <row r="55" spans="2:2" x14ac:dyDescent="0.3">
      <c r="B55" s="42"/>
    </row>
    <row r="56" spans="2:2" x14ac:dyDescent="0.3">
      <c r="B56" s="42"/>
    </row>
  </sheetData>
  <mergeCells count="2">
    <mergeCell ref="D38:E38"/>
    <mergeCell ref="G47:H47"/>
  </mergeCells>
  <conditionalFormatting sqref="D36">
    <cfRule type="cellIs" dxfId="19" priority="30" operator="greaterThan">
      <formula>0</formula>
    </cfRule>
    <cfRule type="cellIs" dxfId="18" priority="31" operator="between">
      <formula>-0.001</formula>
      <formula>-0.49999</formula>
    </cfRule>
    <cfRule type="cellIs" dxfId="17" priority="32" operator="greaterThan">
      <formula>-0.5</formula>
    </cfRule>
    <cfRule type="colorScale" priority="33">
      <colorScale>
        <cfvo type="num" val="0"/>
        <cfvo type="num" val="0"/>
        <color rgb="FFFF0000"/>
        <color rgb="FF92D050"/>
      </colorScale>
    </cfRule>
  </conditionalFormatting>
  <conditionalFormatting sqref="C26:E26">
    <cfRule type="cellIs" dxfId="16" priority="42" operator="greaterThan">
      <formula>0</formula>
    </cfRule>
    <cfRule type="cellIs" dxfId="15" priority="43" operator="between">
      <formula>-0.001</formula>
      <formula>-0.49999</formula>
    </cfRule>
    <cfRule type="cellIs" dxfId="14" priority="44" operator="greaterThan">
      <formula>-0.5</formula>
    </cfRule>
    <cfRule type="colorScale" priority="45">
      <colorScale>
        <cfvo type="num" val="0"/>
        <cfvo type="num" val="0"/>
        <color rgb="FFFF0000"/>
        <color rgb="FF92D050"/>
      </colorScale>
    </cfRule>
  </conditionalFormatting>
  <conditionalFormatting sqref="D26">
    <cfRule type="cellIs" dxfId="13" priority="17" operator="lessThan">
      <formula>-0.5</formula>
    </cfRule>
  </conditionalFormatting>
  <conditionalFormatting sqref="E26">
    <cfRule type="cellIs" dxfId="12" priority="16" operator="lessThan">
      <formula>-0.5</formula>
    </cfRule>
  </conditionalFormatting>
  <conditionalFormatting sqref="E28">
    <cfRule type="cellIs" dxfId="11" priority="12" operator="greaterThan">
      <formula>0</formula>
    </cfRule>
    <cfRule type="cellIs" dxfId="10" priority="13" operator="between">
      <formula>-0.001</formula>
      <formula>-0.49999</formula>
    </cfRule>
    <cfRule type="cellIs" dxfId="9" priority="14" operator="greaterThan">
      <formula>-0.5</formula>
    </cfRule>
    <cfRule type="colorScale" priority="15">
      <colorScale>
        <cfvo type="num" val="0"/>
        <cfvo type="num" val="0"/>
        <color rgb="FFFF0000"/>
        <color rgb="FF92D050"/>
      </colorScale>
    </cfRule>
  </conditionalFormatting>
  <conditionalFormatting sqref="E28">
    <cfRule type="cellIs" dxfId="8" priority="11" operator="lessThan">
      <formula>-0.5</formula>
    </cfRule>
  </conditionalFormatting>
  <conditionalFormatting sqref="C34:E34">
    <cfRule type="cellIs" dxfId="7" priority="7" operator="greaterThan">
      <formula>0</formula>
    </cfRule>
    <cfRule type="cellIs" dxfId="6" priority="8" operator="between">
      <formula>-0.001</formula>
      <formula>-0.49999</formula>
    </cfRule>
    <cfRule type="cellIs" dxfId="5" priority="9" operator="greaterThan">
      <formula>-0.5</formula>
    </cfRule>
    <cfRule type="colorScale" priority="10">
      <colorScale>
        <cfvo type="num" val="0"/>
        <cfvo type="num" val="0"/>
        <color rgb="FFFF0000"/>
        <color rgb="FF92D050"/>
      </colorScale>
    </cfRule>
  </conditionalFormatting>
  <conditionalFormatting sqref="D34">
    <cfRule type="cellIs" dxfId="4" priority="6" operator="lessThan">
      <formula>-0.5</formula>
    </cfRule>
  </conditionalFormatting>
  <conditionalFormatting sqref="E34">
    <cfRule type="cellIs" dxfId="3" priority="5" operator="lessThan">
      <formula>-0.5</formula>
    </cfRule>
  </conditionalFormatting>
  <conditionalFormatting sqref="E36">
    <cfRule type="cellIs" dxfId="2" priority="1" operator="greaterThan">
      <formula>0</formula>
    </cfRule>
    <cfRule type="cellIs" dxfId="1" priority="2" operator="between">
      <formula>-0.001</formula>
      <formula>-0.49999</formula>
    </cfRule>
    <cfRule type="cellIs" dxfId="0" priority="3" operator="greaterThan">
      <formula>-0.5</formula>
    </cfRule>
    <cfRule type="colorScale" priority="4">
      <colorScale>
        <cfvo type="num" val="0"/>
        <cfvo type="num" val="0"/>
        <color rgb="FFFF0000"/>
        <color rgb="FF92D050"/>
      </colorScale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showGridLines="0" workbookViewId="0">
      <selection activeCell="A19" sqref="A19"/>
    </sheetView>
  </sheetViews>
  <sheetFormatPr defaultRowHeight="16.5" x14ac:dyDescent="0.3"/>
  <cols>
    <col min="1" max="1" width="54.5703125" style="42" bestFit="1" customWidth="1"/>
    <col min="2" max="2" width="9.7109375" style="42" customWidth="1"/>
    <col min="3" max="4" width="12.85546875" style="42" bestFit="1" customWidth="1"/>
    <col min="5" max="16384" width="9.140625" style="42"/>
  </cols>
  <sheetData>
    <row r="1" spans="1:4" ht="17.25" thickBot="1" x14ac:dyDescent="0.35">
      <c r="A1" s="71" t="s">
        <v>69</v>
      </c>
    </row>
    <row r="2" spans="1:4" ht="18" thickTop="1" thickBot="1" x14ac:dyDescent="0.35">
      <c r="A2" s="97"/>
      <c r="B2" s="98">
        <v>2013</v>
      </c>
      <c r="C2" s="98">
        <v>2014</v>
      </c>
      <c r="D2" s="98">
        <v>2015</v>
      </c>
    </row>
    <row r="3" spans="1:4" ht="17.25" thickBot="1" x14ac:dyDescent="0.35">
      <c r="A3" s="207" t="s">
        <v>63</v>
      </c>
      <c r="B3" s="208">
        <f>VP!C26</f>
        <v>0.46056746362103013</v>
      </c>
      <c r="C3" s="208">
        <f>VP!D26</f>
        <v>-0.68711150086054384</v>
      </c>
      <c r="D3" s="208">
        <f>VP!E26</f>
        <v>-2.0486390661493874</v>
      </c>
    </row>
    <row r="4" spans="1:4" ht="17.25" thickBot="1" x14ac:dyDescent="0.35">
      <c r="A4" s="209" t="s">
        <v>64</v>
      </c>
      <c r="B4" s="210"/>
      <c r="C4" s="210"/>
      <c r="D4" s="210"/>
    </row>
    <row r="5" spans="1:4" x14ac:dyDescent="0.3">
      <c r="A5" s="211" t="s">
        <v>68</v>
      </c>
      <c r="B5" s="212">
        <f>B16</f>
        <v>0.29118946807512441</v>
      </c>
      <c r="C5" s="212">
        <f t="shared" ref="C5:D5" si="0">C16</f>
        <v>0.52143676155902552</v>
      </c>
      <c r="D5" s="212">
        <f t="shared" si="0"/>
        <v>0.14474039100886527</v>
      </c>
    </row>
    <row r="6" spans="1:4" x14ac:dyDescent="0.3">
      <c r="A6" s="213" t="s">
        <v>162</v>
      </c>
      <c r="B6" s="214">
        <f>('One-offs'!C9-'One-offs'!B9)/ŠS!C33*-100</f>
        <v>0.11081775332471108</v>
      </c>
      <c r="C6" s="214">
        <f>('One-offs'!D9-'One-offs'!C9)/ŠS!D33*-100</f>
        <v>0.20787340868885615</v>
      </c>
      <c r="D6" s="214">
        <f>('One-offs'!E9-'One-offs'!D9)/ŠS!E33*-100</f>
        <v>5.1412930543437256E-2</v>
      </c>
    </row>
    <row r="7" spans="1:4" ht="17.25" thickBot="1" x14ac:dyDescent="0.35">
      <c r="A7" s="215" t="s">
        <v>0</v>
      </c>
      <c r="B7" s="216">
        <f>B23</f>
        <v>0</v>
      </c>
      <c r="C7" s="216">
        <f t="shared" ref="C7:D7" si="1">C23</f>
        <v>3.9703306717692307E-3</v>
      </c>
      <c r="D7" s="216">
        <f t="shared" si="1"/>
        <v>0.48289493283488671</v>
      </c>
    </row>
    <row r="8" spans="1:4" ht="17.25" thickBot="1" x14ac:dyDescent="0.35">
      <c r="A8" s="190" t="s">
        <v>65</v>
      </c>
      <c r="B8" s="217">
        <f>B3+B5+B6+B7</f>
        <v>0.86257468502086565</v>
      </c>
      <c r="C8" s="217">
        <f t="shared" ref="C8" si="2">C3+C5+C6+C7</f>
        <v>4.6169000059107054E-2</v>
      </c>
      <c r="D8" s="217">
        <f>D3+D5+D6+D7</f>
        <v>-1.369590811762198</v>
      </c>
    </row>
    <row r="9" spans="1:4" ht="17.25" thickBot="1" x14ac:dyDescent="0.35">
      <c r="A9" s="190" t="s">
        <v>66</v>
      </c>
      <c r="B9" s="272"/>
      <c r="C9" s="272">
        <f>SUM(B8:C8)</f>
        <v>0.90874368507997272</v>
      </c>
      <c r="D9" s="273">
        <f>SUM(B8:D8)</f>
        <v>-0.46084712668222527</v>
      </c>
    </row>
    <row r="10" spans="1:4" ht="17.25" thickBot="1" x14ac:dyDescent="0.35">
      <c r="A10" s="190" t="s">
        <v>67</v>
      </c>
      <c r="B10" s="218"/>
      <c r="C10" s="218" t="str">
        <f t="shared" ref="C10:D10" si="3">IF(C9&gt;=0,"áno","nie")</f>
        <v>áno</v>
      </c>
      <c r="D10" s="218" t="str">
        <f t="shared" si="3"/>
        <v>nie</v>
      </c>
    </row>
    <row r="11" spans="1:4" x14ac:dyDescent="0.3">
      <c r="C11" s="283" t="s">
        <v>61</v>
      </c>
      <c r="D11" s="283"/>
    </row>
    <row r="13" spans="1:4" x14ac:dyDescent="0.3">
      <c r="A13" s="71" t="s">
        <v>156</v>
      </c>
    </row>
    <row r="14" spans="1:4" x14ac:dyDescent="0.3">
      <c r="A14" s="256"/>
      <c r="B14" s="257">
        <v>2013</v>
      </c>
      <c r="C14" s="257">
        <v>2014</v>
      </c>
      <c r="D14" s="257">
        <v>2015</v>
      </c>
    </row>
    <row r="15" spans="1:4" x14ac:dyDescent="0.3">
      <c r="A15" s="147" t="s">
        <v>158</v>
      </c>
      <c r="B15" s="220">
        <v>215</v>
      </c>
      <c r="C15" s="220">
        <v>394</v>
      </c>
      <c r="D15" s="220">
        <v>113</v>
      </c>
    </row>
    <row r="16" spans="1:4" x14ac:dyDescent="0.3">
      <c r="A16" s="274" t="s">
        <v>159</v>
      </c>
      <c r="B16" s="275">
        <f>B15/ŠS!C33*100</f>
        <v>0.29118946807512441</v>
      </c>
      <c r="C16" s="275">
        <f>C15/ŠS!D33*100</f>
        <v>0.52143676155902552</v>
      </c>
      <c r="D16" s="275">
        <f>D15/ŠS!E33*100</f>
        <v>0.14474039100886527</v>
      </c>
    </row>
    <row r="17" spans="1:4" x14ac:dyDescent="0.3">
      <c r="A17" s="249"/>
      <c r="B17" s="290" t="s">
        <v>61</v>
      </c>
      <c r="C17" s="290"/>
      <c r="D17" s="290"/>
    </row>
    <row r="18" spans="1:4" x14ac:dyDescent="0.3">
      <c r="A18" s="219"/>
      <c r="B18" s="219"/>
      <c r="C18" s="219"/>
      <c r="D18" s="219"/>
    </row>
    <row r="19" spans="1:4" ht="17.25" thickBot="1" x14ac:dyDescent="0.35">
      <c r="A19" s="251" t="s">
        <v>157</v>
      </c>
      <c r="B19" s="243"/>
      <c r="C19" s="243"/>
      <c r="D19" s="243"/>
    </row>
    <row r="20" spans="1:4" x14ac:dyDescent="0.3">
      <c r="A20" s="256"/>
      <c r="B20" s="257">
        <v>2013</v>
      </c>
      <c r="C20" s="257">
        <v>2014</v>
      </c>
      <c r="D20" s="257">
        <v>2015</v>
      </c>
    </row>
    <row r="21" spans="1:4" x14ac:dyDescent="0.3">
      <c r="A21" s="253" t="s">
        <v>173</v>
      </c>
      <c r="B21" s="254">
        <v>380</v>
      </c>
      <c r="C21" s="255">
        <v>383</v>
      </c>
      <c r="D21" s="255">
        <v>760</v>
      </c>
    </row>
    <row r="22" spans="1:4" x14ac:dyDescent="0.3">
      <c r="A22" s="147" t="s">
        <v>160</v>
      </c>
      <c r="B22" s="220">
        <v>0</v>
      </c>
      <c r="C22" s="220">
        <f>C21-B21</f>
        <v>3</v>
      </c>
      <c r="D22" s="220">
        <f>D21-C21</f>
        <v>377</v>
      </c>
    </row>
    <row r="23" spans="1:4" x14ac:dyDescent="0.3">
      <c r="A23" s="274" t="s">
        <v>161</v>
      </c>
      <c r="B23" s="275">
        <f>B22/ŠS!C33*100</f>
        <v>0</v>
      </c>
      <c r="C23" s="275">
        <f>C22/ŠS!D33*100</f>
        <v>3.9703306717692307E-3</v>
      </c>
      <c r="D23" s="275">
        <f>D22/ŠS!E33*100</f>
        <v>0.48289493283488671</v>
      </c>
    </row>
    <row r="24" spans="1:4" x14ac:dyDescent="0.3">
      <c r="C24" s="283" t="s">
        <v>61</v>
      </c>
      <c r="D24" s="283"/>
    </row>
    <row r="26" spans="1:4" x14ac:dyDescent="0.3">
      <c r="B26" s="245"/>
      <c r="C26" s="245"/>
      <c r="D26" s="245"/>
    </row>
  </sheetData>
  <mergeCells count="3">
    <mergeCell ref="B17:D17"/>
    <mergeCell ref="C24:D24"/>
    <mergeCell ref="C11:D1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showGridLines="0" workbookViewId="0">
      <selection sqref="A1:G1"/>
    </sheetView>
  </sheetViews>
  <sheetFormatPr defaultRowHeight="16.5" x14ac:dyDescent="0.3"/>
  <cols>
    <col min="1" max="1" width="16.28515625" style="42" bestFit="1" customWidth="1"/>
    <col min="2" max="2" width="9.5703125" style="42" bestFit="1" customWidth="1"/>
    <col min="3" max="5" width="9.140625" style="42"/>
    <col min="6" max="7" width="9.85546875" style="42" bestFit="1" customWidth="1"/>
    <col min="8" max="16384" width="9.140625" style="42"/>
  </cols>
  <sheetData>
    <row r="1" spans="1:9" ht="17.25" thickBot="1" x14ac:dyDescent="0.35">
      <c r="A1" s="291" t="s">
        <v>133</v>
      </c>
      <c r="B1" s="291"/>
      <c r="C1" s="291"/>
      <c r="D1" s="291"/>
      <c r="E1" s="291"/>
      <c r="F1" s="291"/>
      <c r="G1" s="291"/>
    </row>
    <row r="2" spans="1:9" x14ac:dyDescent="0.3">
      <c r="A2" s="102"/>
      <c r="B2" s="292" t="s">
        <v>134</v>
      </c>
      <c r="C2" s="293"/>
      <c r="D2" s="294" t="s">
        <v>135</v>
      </c>
      <c r="E2" s="293"/>
      <c r="F2" s="295" t="s">
        <v>136</v>
      </c>
      <c r="G2" s="296"/>
    </row>
    <row r="3" spans="1:9" ht="17.25" thickBot="1" x14ac:dyDescent="0.35">
      <c r="A3" s="103"/>
      <c r="B3" s="145">
        <v>2014</v>
      </c>
      <c r="C3" s="146">
        <v>2015</v>
      </c>
      <c r="D3" s="75">
        <v>2014</v>
      </c>
      <c r="E3" s="146">
        <v>2015</v>
      </c>
      <c r="F3" s="75">
        <v>2014</v>
      </c>
      <c r="G3" s="105">
        <v>2015</v>
      </c>
    </row>
    <row r="4" spans="1:9" x14ac:dyDescent="0.3">
      <c r="A4" s="147" t="s">
        <v>24</v>
      </c>
      <c r="B4" s="186">
        <f>ŠS!D3</f>
        <v>-2.6946832785831276</v>
      </c>
      <c r="C4" s="176">
        <f>ŠS!E3</f>
        <v>-2.9694016379719343</v>
      </c>
      <c r="D4" s="186">
        <v>-2.69</v>
      </c>
      <c r="E4" s="176">
        <v>-2.97</v>
      </c>
      <c r="F4" s="175">
        <f t="shared" ref="F4:G8" si="0">B4-D4</f>
        <v>-4.6832785831276702E-3</v>
      </c>
      <c r="G4" s="175">
        <f t="shared" si="0"/>
        <v>5.9836202806584637E-4</v>
      </c>
    </row>
    <row r="5" spans="1:9" x14ac:dyDescent="0.3">
      <c r="A5" s="147" t="s">
        <v>25</v>
      </c>
      <c r="B5" s="174">
        <f>ŠS!D4</f>
        <v>-0.39442629960825965</v>
      </c>
      <c r="C5" s="177">
        <f>ŠS!E4</f>
        <v>-0.1923414984521824</v>
      </c>
      <c r="D5" s="174">
        <v>-0.76824761672633235</v>
      </c>
      <c r="E5" s="177">
        <v>-0.48303497501143366</v>
      </c>
      <c r="F5" s="169">
        <f t="shared" si="0"/>
        <v>0.3738213171180727</v>
      </c>
      <c r="G5" s="184">
        <f t="shared" si="0"/>
        <v>0.29069347655925126</v>
      </c>
      <c r="I5" s="242"/>
    </row>
    <row r="6" spans="1:9" x14ac:dyDescent="0.3">
      <c r="A6" s="147" t="s">
        <v>137</v>
      </c>
      <c r="B6" s="174">
        <f>ŠS!D5</f>
        <v>0.12587118835389655</v>
      </c>
      <c r="C6" s="177">
        <f>ŠS!E5</f>
        <v>-0.23055991488137828</v>
      </c>
      <c r="D6" s="174">
        <v>-1.2519740276885707E-3</v>
      </c>
      <c r="E6" s="177">
        <v>-0.31213125928600882</v>
      </c>
      <c r="F6" s="169">
        <f t="shared" si="0"/>
        <v>0.12712316238158511</v>
      </c>
      <c r="G6" s="184">
        <f t="shared" si="0"/>
        <v>8.1571344404630541E-2</v>
      </c>
    </row>
    <row r="7" spans="1:9" ht="17.25" thickBot="1" x14ac:dyDescent="0.35">
      <c r="A7" s="148" t="s">
        <v>138</v>
      </c>
      <c r="B7" s="187">
        <f>ŠS!D6</f>
        <v>-2.4261281673287645</v>
      </c>
      <c r="C7" s="179">
        <f>ŠS!E6</f>
        <v>-2.5465002246383737</v>
      </c>
      <c r="D7" s="187">
        <v>-1.920500409245979</v>
      </c>
      <c r="E7" s="179">
        <v>-2.1748337657025578</v>
      </c>
      <c r="F7" s="178">
        <f t="shared" si="0"/>
        <v>-0.50562775808278548</v>
      </c>
      <c r="G7" s="185">
        <f t="shared" si="0"/>
        <v>-0.37166645893581585</v>
      </c>
    </row>
    <row r="8" spans="1:9" x14ac:dyDescent="0.3">
      <c r="A8" s="149" t="s">
        <v>139</v>
      </c>
      <c r="B8" s="188">
        <f>ŠS!D7</f>
        <v>-0.11423003216314953</v>
      </c>
      <c r="C8" s="181">
        <f>ŠS!E7</f>
        <v>-0.1203720573096092</v>
      </c>
      <c r="D8" s="188">
        <v>-0.36519077765016172</v>
      </c>
      <c r="E8" s="181">
        <v>-0.25433335645657884</v>
      </c>
      <c r="F8" s="180">
        <f t="shared" si="0"/>
        <v>0.25096074548701219</v>
      </c>
      <c r="G8" s="183">
        <f t="shared" si="0"/>
        <v>0.13396129914696964</v>
      </c>
    </row>
    <row r="9" spans="1:9" x14ac:dyDescent="0.3">
      <c r="A9" s="151"/>
      <c r="B9" s="150"/>
      <c r="C9" s="150"/>
      <c r="D9" s="150"/>
      <c r="E9" s="150"/>
      <c r="F9" s="283" t="s">
        <v>61</v>
      </c>
      <c r="G9" s="283"/>
    </row>
    <row r="10" spans="1:9" x14ac:dyDescent="0.3">
      <c r="D10" s="245"/>
      <c r="E10" s="245"/>
    </row>
  </sheetData>
  <mergeCells count="5">
    <mergeCell ref="A1:G1"/>
    <mergeCell ref="B2:C2"/>
    <mergeCell ref="D2:E2"/>
    <mergeCell ref="F2:G2"/>
    <mergeCell ref="F9:G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workbookViewId="0">
      <selection sqref="A1:C1"/>
    </sheetView>
  </sheetViews>
  <sheetFormatPr defaultRowHeight="16.5" x14ac:dyDescent="0.3"/>
  <cols>
    <col min="1" max="1" width="54.7109375" style="42" customWidth="1"/>
    <col min="2" max="3" width="7.85546875" style="42" customWidth="1"/>
    <col min="4" max="16384" width="9.140625" style="42"/>
  </cols>
  <sheetData>
    <row r="1" spans="1:4" ht="17.25" thickBot="1" x14ac:dyDescent="0.35">
      <c r="A1" s="291" t="s">
        <v>51</v>
      </c>
      <c r="B1" s="291"/>
      <c r="C1" s="291"/>
    </row>
    <row r="2" spans="1:4" ht="17.25" thickBot="1" x14ac:dyDescent="0.35">
      <c r="A2" s="83"/>
      <c r="B2" s="84" t="s">
        <v>29</v>
      </c>
      <c r="C2" s="84" t="s">
        <v>2</v>
      </c>
    </row>
    <row r="3" spans="1:4" ht="17.25" thickBot="1" x14ac:dyDescent="0.35">
      <c r="A3" s="79" t="s">
        <v>30</v>
      </c>
      <c r="B3" s="173">
        <f>B4+B11+B14+B15</f>
        <v>990.69864742743312</v>
      </c>
      <c r="C3" s="172">
        <f>C4+C11+C14+C15</f>
        <v>1.2689744212442533</v>
      </c>
    </row>
    <row r="4" spans="1:4" x14ac:dyDescent="0.3">
      <c r="A4" s="85" t="s">
        <v>31</v>
      </c>
      <c r="B4" s="171">
        <v>161.83181500000137</v>
      </c>
      <c r="C4" s="169">
        <f>B4/ŠS!$E$33*100</f>
        <v>0.20728849717499598</v>
      </c>
      <c r="D4" s="298"/>
    </row>
    <row r="5" spans="1:4" x14ac:dyDescent="0.3">
      <c r="A5" s="10" t="s">
        <v>32</v>
      </c>
      <c r="B5" s="170">
        <f>DRM!I28+DRM!I29+DRM!I33+DRM!I36</f>
        <v>99.071000000000012</v>
      </c>
      <c r="C5" s="169">
        <f>B5/ŠS!$E$33*100</f>
        <v>0.12689889626229461</v>
      </c>
      <c r="D5" s="298"/>
    </row>
    <row r="6" spans="1:4" x14ac:dyDescent="0.3">
      <c r="A6" s="10" t="s">
        <v>33</v>
      </c>
      <c r="B6" s="171">
        <f>DRM!I30</f>
        <v>56.440000000000005</v>
      </c>
      <c r="C6" s="169">
        <f>B6/ŠS!$E$33*100</f>
        <v>7.2293342199472171E-2</v>
      </c>
      <c r="D6" s="298"/>
    </row>
    <row r="7" spans="1:4" x14ac:dyDescent="0.3">
      <c r="A7" s="10" t="s">
        <v>34</v>
      </c>
      <c r="B7" s="170">
        <f>DRM!I31</f>
        <v>47.4</v>
      </c>
      <c r="C7" s="169">
        <f>B7/ŠS!$E$33*100</f>
        <v>6.0714110918762949E-2</v>
      </c>
      <c r="D7" s="298"/>
    </row>
    <row r="8" spans="1:4" x14ac:dyDescent="0.3">
      <c r="A8" s="10" t="s">
        <v>35</v>
      </c>
      <c r="B8" s="86">
        <v>25</v>
      </c>
      <c r="C8" s="170">
        <f>B8/ŠS!$E$33*100</f>
        <v>3.2022210400191431E-2</v>
      </c>
      <c r="D8" s="298"/>
    </row>
    <row r="9" spans="1:4" x14ac:dyDescent="0.3">
      <c r="A9" s="10" t="s">
        <v>36</v>
      </c>
      <c r="B9" s="170">
        <f>DRM!I32</f>
        <v>-24.3</v>
      </c>
      <c r="C9" s="170">
        <f>B9/ŠS!$E$33*100</f>
        <v>-3.1125588508986071E-2</v>
      </c>
      <c r="D9" s="298"/>
    </row>
    <row r="10" spans="1:4" x14ac:dyDescent="0.3">
      <c r="A10" s="10" t="s">
        <v>37</v>
      </c>
      <c r="B10" s="170">
        <f>DRM!I12</f>
        <v>-41.746185000000004</v>
      </c>
      <c r="C10" s="169">
        <f>B10/ŠS!$E$33*100</f>
        <v>-5.3472204779012621E-2</v>
      </c>
      <c r="D10" s="298"/>
    </row>
    <row r="11" spans="1:4" x14ac:dyDescent="0.3">
      <c r="A11" s="85" t="s">
        <v>38</v>
      </c>
      <c r="B11" s="171">
        <v>88.830081827432878</v>
      </c>
      <c r="C11" s="169">
        <f>B11/ŠS!$E$33*100</f>
        <v>0.11378142280577108</v>
      </c>
      <c r="D11" s="298"/>
    </row>
    <row r="12" spans="1:4" x14ac:dyDescent="0.3">
      <c r="A12" s="10" t="s">
        <v>39</v>
      </c>
      <c r="B12" s="170">
        <f>DRM!I34+DRM!I35</f>
        <v>-40.075002172567601</v>
      </c>
      <c r="C12" s="169">
        <f>B12/ŠS!$E$33*100</f>
        <v>-5.1331606054323534E-2</v>
      </c>
      <c r="D12" s="298"/>
    </row>
    <row r="13" spans="1:4" x14ac:dyDescent="0.3">
      <c r="A13" s="10" t="s">
        <v>40</v>
      </c>
      <c r="B13" s="86">
        <v>129</v>
      </c>
      <c r="C13" s="169">
        <f>B13/ŠS!$E$33*100</f>
        <v>0.16523460566498777</v>
      </c>
      <c r="D13" s="298"/>
    </row>
    <row r="14" spans="1:4" x14ac:dyDescent="0.3">
      <c r="A14" s="85" t="s">
        <v>41</v>
      </c>
      <c r="B14" s="170">
        <v>176.18540159999975</v>
      </c>
      <c r="C14" s="169">
        <f>B14/ŠS!$E$33*100</f>
        <v>0.22567383997909662</v>
      </c>
      <c r="D14" s="298"/>
    </row>
    <row r="15" spans="1:4" ht="17.25" thickBot="1" x14ac:dyDescent="0.35">
      <c r="A15" s="85" t="s">
        <v>42</v>
      </c>
      <c r="B15" s="170">
        <v>563.85134899999912</v>
      </c>
      <c r="C15" s="169">
        <f>B15/ŠS!$E$33*100</f>
        <v>0.72223066128438962</v>
      </c>
      <c r="D15" s="298"/>
    </row>
    <row r="16" spans="1:4" ht="17.25" thickBot="1" x14ac:dyDescent="0.35">
      <c r="A16" s="79" t="s">
        <v>43</v>
      </c>
      <c r="B16" s="87">
        <f>SUM(B17:B21)</f>
        <v>-1610.8813142000088</v>
      </c>
      <c r="C16" s="172">
        <f>SUM(C17:C21)</f>
        <v>-2.0633592149219822</v>
      </c>
      <c r="D16" s="298"/>
    </row>
    <row r="17" spans="1:4" x14ac:dyDescent="0.3">
      <c r="A17" s="85" t="s">
        <v>44</v>
      </c>
      <c r="B17" s="170">
        <v>-450.17086799999925</v>
      </c>
      <c r="C17" s="169">
        <f>B17/ŠS!$E$33*100</f>
        <v>-0.57661865004531121</v>
      </c>
      <c r="D17" s="298"/>
    </row>
    <row r="18" spans="1:4" x14ac:dyDescent="0.3">
      <c r="A18" s="85" t="s">
        <v>45</v>
      </c>
      <c r="B18" s="170">
        <v>-135.76314400000138</v>
      </c>
      <c r="C18" s="169">
        <f>B18/ŠS!$E$33*100</f>
        <v>-0.17389743847038122</v>
      </c>
      <c r="D18" s="298"/>
    </row>
    <row r="19" spans="1:4" x14ac:dyDescent="0.3">
      <c r="A19" s="85" t="s">
        <v>46</v>
      </c>
      <c r="B19" s="170">
        <v>-150.3848792000008</v>
      </c>
      <c r="C19" s="169">
        <f>B19/ŠS!$E$33*100</f>
        <v>-0.1926262497099919</v>
      </c>
      <c r="D19" s="298"/>
    </row>
    <row r="20" spans="1:4" x14ac:dyDescent="0.3">
      <c r="A20" s="85" t="s">
        <v>47</v>
      </c>
      <c r="B20" s="170">
        <v>-93.729628000008006</v>
      </c>
      <c r="C20" s="169">
        <f>B20/ŠS!$E$33*100</f>
        <v>-0.12005719474191721</v>
      </c>
      <c r="D20" s="298"/>
    </row>
    <row r="21" spans="1:4" ht="17.25" thickBot="1" x14ac:dyDescent="0.35">
      <c r="A21" s="85" t="s">
        <v>48</v>
      </c>
      <c r="B21" s="170">
        <v>-780.83279499999935</v>
      </c>
      <c r="C21" s="169">
        <f>B21/ŠS!$E$33*100</f>
        <v>-1.0001596819543808</v>
      </c>
      <c r="D21" s="298"/>
    </row>
    <row r="22" spans="1:4" ht="17.25" thickBot="1" x14ac:dyDescent="0.35">
      <c r="A22" s="267" t="s">
        <v>148</v>
      </c>
      <c r="B22" s="268">
        <f>B3+B16</f>
        <v>-620.18266677257566</v>
      </c>
      <c r="C22" s="269">
        <f>C3+C16</f>
        <v>-0.79438479367772885</v>
      </c>
      <c r="D22" s="298"/>
    </row>
    <row r="23" spans="1:4" ht="17.25" thickTop="1" x14ac:dyDescent="0.3">
      <c r="A23" s="88" t="s">
        <v>49</v>
      </c>
      <c r="B23" s="297" t="s">
        <v>50</v>
      </c>
      <c r="C23" s="297"/>
    </row>
    <row r="24" spans="1:4" x14ac:dyDescent="0.3">
      <c r="A24" s="89"/>
    </row>
  </sheetData>
  <mergeCells count="3">
    <mergeCell ref="A1:C1"/>
    <mergeCell ref="B23:C23"/>
    <mergeCell ref="D4:D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11</vt:i4>
      </vt:variant>
    </vt:vector>
  </HeadingPairs>
  <TitlesOfParts>
    <vt:vector size="11" baseType="lpstr">
      <vt:lpstr>Obsah</vt:lpstr>
      <vt:lpstr>Celkove hodnotenie</vt:lpstr>
      <vt:lpstr>ŠS</vt:lpstr>
      <vt:lpstr>ŠS_faktory</vt:lpstr>
      <vt:lpstr>Cyklická zložka</vt:lpstr>
      <vt:lpstr>VP</vt:lpstr>
      <vt:lpstr>VP_faktory</vt:lpstr>
      <vt:lpstr>FK vs EK</vt:lpstr>
      <vt:lpstr>NPC</vt:lpstr>
      <vt:lpstr>One-offs</vt:lpstr>
      <vt:lpstr>DRM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2016-06-30T13:08:50Z</dcterms:modified>
</cp:coreProperties>
</file>